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step\Documents\"/>
    </mc:Choice>
  </mc:AlternateContent>
  <xr:revisionPtr revIDLastSave="0" documentId="8_{9B9AB496-955E-4D41-AAEB-07F662E77AB4}" xr6:coauthVersionLast="47" xr6:coauthVersionMax="47" xr10:uidLastSave="{00000000-0000-0000-0000-000000000000}"/>
  <bookViews>
    <workbookView xWindow="-120" yWindow="-120" windowWidth="29040" windowHeight="15840" xr2:uid="{00000000-000D-0000-FFFF-FFFF00000000}"/>
  </bookViews>
  <sheets>
    <sheet name="Timetable（2021ｆｗ・秋冬学期) " sheetId="17" r:id="rId1"/>
    <sheet name="Sheet2" sheetId="18" r:id="rId2"/>
    <sheet name="Sheet1" sheetId="2" state="hidden" r:id="rId3"/>
  </sheets>
  <definedNames>
    <definedName name="_xlnm._FilterDatabase" localSheetId="1" hidden="1">Sheet2!$B$1:$I$25</definedName>
    <definedName name="FamilyName">'Timetable（2021ｆｗ・秋冬学期) '!$E$4</definedName>
    <definedName name="FirstName">'Timetable（2021ｆｗ・秋冬学期) '!$E$5</definedName>
    <definedName name="Friday2">'Timetable（2021ｆｗ・秋冬学期) '!$H$83:$M$84</definedName>
    <definedName name="Friday2_Y">'Timetable（2021ｆｗ・秋冬学期) '!$M$83:$M$84</definedName>
    <definedName name="Friday3">'Timetable（2021ｆｗ・秋冬学期) '!$H$87:$M$88</definedName>
    <definedName name="Friday3_Y">'Timetable（2021ｆｗ・秋冬学期) '!$M$87</definedName>
    <definedName name="Friday4">'Timetable（2021ｆｗ・秋冬学期) '!$H$91:$M$92</definedName>
    <definedName name="Friday4_Y">'Timetable（2021ｆｗ・秋冬学期) '!$M$91:$M$92</definedName>
    <definedName name="Friday5">'Timetable（2021ｆｗ・秋冬学期) '!$H$95:$M$98</definedName>
    <definedName name="Friday5_Y">'Timetable（2021ｆｗ・秋冬学期) '!$M$95:$M$98</definedName>
    <definedName name="Monday2">'Timetable（2021ｆｗ・秋冬学期) '!$B$33:$G$36</definedName>
    <definedName name="Monday2_Y">'Timetable（2021ｆｗ・秋冬学期) '!$G$33:$G$36</definedName>
    <definedName name="Monday3">'Timetable（2021ｆｗ・秋冬学期) '!$B$39:$G$40</definedName>
    <definedName name="Monday3_Y">'Timetable（2021ｆｗ・秋冬学期) '!$G$39:$G$40</definedName>
    <definedName name="Monday4">'Timetable（2021ｆｗ・秋冬学期) '!$B$43:$G$44</definedName>
    <definedName name="Monday4_Y">'Timetable（2021ｆｗ・秋冬学期) '!$G$43:$G$44</definedName>
    <definedName name="Monday5">'Timetable（2021ｆｗ・秋冬学期) '!$B$47:$G$48</definedName>
    <definedName name="Monday5_Y">'Timetable（2021ｆｗ・秋冬学期) '!$G$47:$G$48</definedName>
    <definedName name="_xlnm.Print_Area" localSheetId="0">'Timetable（2021ｆｗ・秋冬学期) '!$A$7:$R$52</definedName>
    <definedName name="StudentID">'Timetable（2021ｆｗ・秋冬学期) '!$E$2</definedName>
    <definedName name="Thursday1">'Timetable（2021ｆｗ・秋冬学期) '!$B$75:$G$78</definedName>
    <definedName name="Thursday1_Y">'Timetable（2021ｆｗ・秋冬学期) '!$G$75:$G$78</definedName>
    <definedName name="Thursday2">'Timetable（2021ｆｗ・秋冬学期) '!$B$81:$G$86</definedName>
    <definedName name="Thursday2_Y">'Timetable（2021ｆｗ・秋冬学期) '!$G$81:$G$86</definedName>
    <definedName name="Thursday3">'Timetable（2021ｆｗ・秋冬学期) '!$B$87:$G$88</definedName>
    <definedName name="Thursday3_Y">'Timetable（2021ｆｗ・秋冬学期) '!$G$87:$G$88</definedName>
    <definedName name="Thursday4">'Timetable（2021ｆｗ・秋冬学期) '!$B$91:$G$92</definedName>
    <definedName name="Thursday4_Y">'Timetable（2021ｆｗ・秋冬学期) '!$G$91:$G$92</definedName>
    <definedName name="Thursday5">'Timetable（2021ｆｗ・秋冬学期) '!$B$95:$G$98</definedName>
    <definedName name="Thursday5_Y">'Timetable（2021ｆｗ・秋冬学期) '!$G$95:$G$98</definedName>
    <definedName name="Tuesday1">'Timetable（2021ｆｗ・秋冬学期) '!$H$9:$M$30</definedName>
    <definedName name="Tuesday1_Y">'Timetable（2021ｆｗ・秋冬学期) '!$M$9:$M$30</definedName>
    <definedName name="Tuesday2">'Timetable（2021ｆｗ・秋冬学期) '!$H$33:$M$36</definedName>
    <definedName name="Tuesday2_Y">'Timetable（2021ｆｗ・秋冬学期) '!$M$33:$M$36</definedName>
    <definedName name="Tuesday3">'Timetable（2021ｆｗ・秋冬学期) '!$H$39:$M$40</definedName>
    <definedName name="Tuesday3_Y">'Timetable（2021ｆｗ・秋冬学期) '!$M$39:$M$40</definedName>
    <definedName name="Tuesday4">'Timetable（2021ｆｗ・秋冬学期) '!$H$43:$M$48</definedName>
    <definedName name="Tuesday4_Y">'Timetable（2021ｆｗ・秋冬学期) '!$M$43:$M$48</definedName>
    <definedName name="Tuesday5">'Timetable（2021ｆｗ・秋冬学期) '!$H$49:$M$50</definedName>
    <definedName name="Tuesday5_Y">'Timetable（2021ｆｗ・秋冬学期) '!$M$49:$M$50</definedName>
    <definedName name="Wednesday1">'Timetable（2021ｆｗ・秋冬学期) '!$N$27:$S$30</definedName>
    <definedName name="Wednesday1_Y">'Timetable（2021ｆｗ・秋冬学期) '!$S$27:$S$30</definedName>
    <definedName name="Wednesday2">'Timetable（2021ｆｗ・秋冬学期) '!$N$33:$S$38</definedName>
    <definedName name="Wednesday2_Y">'Timetable（2021ｆｗ・秋冬学期) '!$S$33:$S$38</definedName>
    <definedName name="Wednesday3">'Timetable（2021ｆｗ・秋冬学期) '!$N$39:$S$42</definedName>
    <definedName name="Wednesday3_Y">'Timetable（2021ｆｗ・秋冬学期) '!$S$39:$S$42</definedName>
    <definedName name="Wednesday4">'Timetable（2021ｆｗ・秋冬学期) '!$N$43:$S$44</definedName>
    <definedName name="Wednesday4_Y">'Timetable（2021ｆｗ・秋冬学期) '!$S$43:$S$44</definedName>
    <definedName name="Wednesday5">'Timetable（2021ｆｗ・秋冬学期) '!$N$49:$S$52</definedName>
    <definedName name="Wednesday5_Y">'Timetable（2021ｆｗ・秋冬学期) '!$S$49:$S$52</definedName>
  </definedNames>
  <calcPr calcId="191029"/>
</workbook>
</file>

<file path=xl/calcChain.xml><?xml version="1.0" encoding="utf-8"?>
<calcChain xmlns="http://schemas.openxmlformats.org/spreadsheetml/2006/main">
  <c r="Q74" i="17" l="1"/>
  <c r="Q79" i="17"/>
  <c r="G21" i="18"/>
  <c r="G20" i="18"/>
  <c r="E4" i="18"/>
  <c r="Q84" i="17"/>
  <c r="L24" i="18"/>
  <c r="M24" i="18" s="1"/>
  <c r="E24" i="18"/>
  <c r="N24" i="18"/>
  <c r="H24" i="18" s="1"/>
  <c r="E16" i="18"/>
  <c r="L16" i="18"/>
  <c r="M16" i="18" s="1"/>
  <c r="L11" i="18"/>
  <c r="M11" i="18" s="1"/>
  <c r="E11" i="18"/>
  <c r="E3" i="18"/>
  <c r="E7" i="18"/>
  <c r="M81" i="17"/>
  <c r="M57" i="17"/>
  <c r="G61" i="17"/>
  <c r="S13" i="17"/>
  <c r="G73" i="17"/>
  <c r="G71" i="17"/>
  <c r="G69" i="17"/>
  <c r="G67" i="17"/>
  <c r="G65" i="17"/>
  <c r="G63" i="17"/>
  <c r="G59" i="17"/>
  <c r="G57" i="17"/>
  <c r="Q86" i="17"/>
  <c r="S25" i="17"/>
  <c r="S23" i="17"/>
  <c r="S21" i="17"/>
  <c r="S19" i="17"/>
  <c r="S17" i="17"/>
  <c r="S15" i="17"/>
  <c r="S11" i="17"/>
  <c r="S9" i="17"/>
  <c r="N16" i="18" l="1"/>
  <c r="G16" i="18" s="1"/>
  <c r="I16" i="18"/>
  <c r="G24" i="18"/>
  <c r="I24" i="18"/>
  <c r="F24" i="18"/>
  <c r="N11" i="18"/>
  <c r="Q89" i="17"/>
  <c r="E26" i="18"/>
  <c r="E25" i="18"/>
  <c r="E23" i="18"/>
  <c r="E21" i="18"/>
  <c r="E20" i="18"/>
  <c r="E19" i="18"/>
  <c r="E18" i="18"/>
  <c r="E17" i="18"/>
  <c r="E15" i="18"/>
  <c r="E14" i="18"/>
  <c r="E13" i="18"/>
  <c r="E12" i="18"/>
  <c r="E10" i="18"/>
  <c r="E9" i="18"/>
  <c r="E8" i="18"/>
  <c r="E6" i="18"/>
  <c r="E5" i="18"/>
  <c r="B25" i="18"/>
  <c r="B3" i="18"/>
  <c r="B4" i="18"/>
  <c r="B5" i="18"/>
  <c r="B6" i="18"/>
  <c r="B7" i="18"/>
  <c r="B8" i="18"/>
  <c r="B9" i="18"/>
  <c r="B10" i="18"/>
  <c r="B11" i="18"/>
  <c r="B12" i="18"/>
  <c r="B13" i="18"/>
  <c r="B14" i="18"/>
  <c r="B15" i="18"/>
  <c r="B16" i="18"/>
  <c r="B17" i="18"/>
  <c r="B18" i="18"/>
  <c r="B19" i="18"/>
  <c r="B20" i="18"/>
  <c r="B21" i="18"/>
  <c r="B22" i="18"/>
  <c r="B23" i="18"/>
  <c r="B24" i="18"/>
  <c r="B26" i="18"/>
  <c r="B2" i="18"/>
  <c r="A2" i="18"/>
  <c r="A4" i="18"/>
  <c r="A26" i="18"/>
  <c r="A25" i="18"/>
  <c r="A24" i="18"/>
  <c r="A23" i="18"/>
  <c r="A22" i="18"/>
  <c r="A21" i="18"/>
  <c r="A20" i="18"/>
  <c r="A19" i="18"/>
  <c r="A18" i="18"/>
  <c r="A17" i="18"/>
  <c r="A16" i="18"/>
  <c r="A15" i="18"/>
  <c r="A14" i="18"/>
  <c r="A13" i="18"/>
  <c r="A12" i="18"/>
  <c r="A11" i="18"/>
  <c r="A10" i="18"/>
  <c r="A9" i="18"/>
  <c r="A8" i="18"/>
  <c r="A7" i="18"/>
  <c r="A6" i="18"/>
  <c r="A5" i="18"/>
  <c r="A3" i="18"/>
  <c r="L14" i="18"/>
  <c r="M14" i="18" s="1"/>
  <c r="L26" i="18"/>
  <c r="M26" i="18" s="1"/>
  <c r="L21" i="18"/>
  <c r="M21" i="18" s="1"/>
  <c r="L6" i="18"/>
  <c r="M6" i="18" s="1"/>
  <c r="N21" i="18"/>
  <c r="H21" i="18" s="1"/>
  <c r="L17" i="18"/>
  <c r="M17" i="18" s="1"/>
  <c r="L23" i="18"/>
  <c r="N23" i="18" s="1"/>
  <c r="L20" i="18"/>
  <c r="N20" i="18" s="1"/>
  <c r="L25" i="18"/>
  <c r="N25" i="18" s="1"/>
  <c r="L19" i="18"/>
  <c r="N19" i="18" s="1"/>
  <c r="G19" i="18" s="1"/>
  <c r="L18" i="18"/>
  <c r="N18" i="18" s="1"/>
  <c r="L15" i="18"/>
  <c r="M15" i="18" s="1"/>
  <c r="L13" i="18"/>
  <c r="M13" i="18" s="1"/>
  <c r="L10" i="18"/>
  <c r="M10" i="18" s="1"/>
  <c r="L9" i="18"/>
  <c r="M9" i="18" s="1"/>
  <c r="L8" i="18"/>
  <c r="N8" i="18" s="1"/>
  <c r="L7" i="18"/>
  <c r="N7" i="18" s="1"/>
  <c r="L5" i="18"/>
  <c r="N5" i="18" s="1"/>
  <c r="L4" i="18"/>
  <c r="N4" i="18" s="1"/>
  <c r="L3" i="18"/>
  <c r="N3" i="18" s="1"/>
  <c r="L12" i="18"/>
  <c r="N12" i="18" s="1"/>
  <c r="H16" i="18" l="1"/>
  <c r="F16" i="18"/>
  <c r="M20" i="18"/>
  <c r="I11" i="18"/>
  <c r="G11" i="18"/>
  <c r="H11" i="18"/>
  <c r="F11" i="18"/>
  <c r="I21" i="18"/>
  <c r="N14" i="18"/>
  <c r="H14" i="18" s="1"/>
  <c r="N26" i="18"/>
  <c r="H26" i="18" s="1"/>
  <c r="M12" i="18"/>
  <c r="I12" i="18" s="1"/>
  <c r="M4" i="18"/>
  <c r="H4" i="18" s="1"/>
  <c r="N10" i="18"/>
  <c r="H10" i="18" s="1"/>
  <c r="F26" i="18"/>
  <c r="M25" i="18"/>
  <c r="F25" i="18" s="1"/>
  <c r="M8" i="18"/>
  <c r="I8" i="18" s="1"/>
  <c r="M23" i="18"/>
  <c r="G23" i="18" s="1"/>
  <c r="N17" i="18"/>
  <c r="G17" i="18" s="1"/>
  <c r="N13" i="18"/>
  <c r="F13" i="18" s="1"/>
  <c r="M5" i="18"/>
  <c r="H5" i="18" s="1"/>
  <c r="M7" i="18"/>
  <c r="I7" i="18" s="1"/>
  <c r="N6" i="18"/>
  <c r="I6" i="18" s="1"/>
  <c r="F20" i="18"/>
  <c r="I20" i="18"/>
  <c r="H20" i="18"/>
  <c r="G4" i="18"/>
  <c r="F4" i="18"/>
  <c r="M18" i="18"/>
  <c r="H18" i="18" s="1"/>
  <c r="M19" i="18"/>
  <c r="I19" i="18" s="1"/>
  <c r="N15" i="18"/>
  <c r="N9" i="18"/>
  <c r="M3" i="18"/>
  <c r="H3" i="18" s="1"/>
  <c r="F21" i="18"/>
  <c r="I26" i="18"/>
  <c r="F18" i="18" l="1"/>
  <c r="G18" i="18"/>
  <c r="I4" i="18"/>
  <c r="G26" i="18"/>
  <c r="F14" i="18"/>
  <c r="I14" i="18"/>
  <c r="G14" i="18"/>
  <c r="H12" i="18"/>
  <c r="F12" i="18"/>
  <c r="G12" i="18"/>
  <c r="F23" i="18"/>
  <c r="H23" i="18"/>
  <c r="H25" i="18"/>
  <c r="I25" i="18"/>
  <c r="G25" i="18"/>
  <c r="I23" i="18"/>
  <c r="G10" i="18"/>
  <c r="I10" i="18"/>
  <c r="F10" i="18"/>
  <c r="F19" i="18"/>
  <c r="H19" i="18"/>
  <c r="I18" i="18"/>
  <c r="G6" i="18"/>
  <c r="G8" i="18"/>
  <c r="H8" i="18"/>
  <c r="H17" i="18"/>
  <c r="I17" i="18"/>
  <c r="H6" i="18"/>
  <c r="F8" i="18"/>
  <c r="F6" i="18"/>
  <c r="F17" i="18"/>
  <c r="G13" i="18"/>
  <c r="I13" i="18"/>
  <c r="H13" i="18"/>
  <c r="G7" i="18"/>
  <c r="F7" i="18"/>
  <c r="H7" i="18"/>
  <c r="F5" i="18"/>
  <c r="I5" i="18"/>
  <c r="G5" i="18"/>
  <c r="I3" i="18"/>
  <c r="F3" i="18"/>
  <c r="G3" i="18"/>
  <c r="I9" i="18"/>
  <c r="H9" i="18"/>
  <c r="G9" i="18"/>
  <c r="F9" i="18"/>
  <c r="F15" i="18"/>
  <c r="I15" i="18"/>
  <c r="H15" i="18"/>
  <c r="G15" i="18"/>
</calcChain>
</file>

<file path=xl/sharedStrings.xml><?xml version="1.0" encoding="utf-8"?>
<sst xmlns="http://schemas.openxmlformats.org/spreadsheetml/2006/main" count="624" uniqueCount="359">
  <si>
    <t>吹田</t>
    <rPh sb="0" eb="2">
      <t>スイタ</t>
    </rPh>
    <phoneticPr fontId="2"/>
  </si>
  <si>
    <t>秋・冬</t>
    <rPh sb="0" eb="1">
      <t>アキ</t>
    </rPh>
    <rPh sb="2" eb="3">
      <t>フユ</t>
    </rPh>
    <phoneticPr fontId="2"/>
  </si>
  <si>
    <t>春・夏</t>
    <rPh sb="0" eb="1">
      <t>ハル</t>
    </rPh>
    <rPh sb="2" eb="3">
      <t>ナツ</t>
    </rPh>
    <phoneticPr fontId="2"/>
  </si>
  <si>
    <t>有</t>
    <rPh sb="0" eb="1">
      <t>ア</t>
    </rPh>
    <phoneticPr fontId="2"/>
  </si>
  <si>
    <t>無</t>
    <rPh sb="0" eb="1">
      <t>ナシ</t>
    </rPh>
    <phoneticPr fontId="2"/>
  </si>
  <si>
    <t>豊中</t>
    <rPh sb="0" eb="2">
      <t>トヨナカ</t>
    </rPh>
    <phoneticPr fontId="2"/>
  </si>
  <si>
    <t>箕面</t>
    <rPh sb="0" eb="2">
      <t>ミノオ</t>
    </rPh>
    <phoneticPr fontId="2"/>
  </si>
  <si>
    <t>Elbalti Beligh</t>
  </si>
  <si>
    <t>Sachihiko KONDO</t>
  </si>
  <si>
    <t>中野　遼子</t>
    <rPh sb="0" eb="2">
      <t>ナカノ</t>
    </rPh>
    <rPh sb="3" eb="5">
      <t>リョウコ</t>
    </rPh>
    <phoneticPr fontId="2"/>
  </si>
  <si>
    <t>Tuesday</t>
  </si>
  <si>
    <t>Wednesday</t>
  </si>
  <si>
    <t>Mioko YOSHINAGA</t>
  </si>
  <si>
    <t>Koichi NISHIGUCHI</t>
  </si>
  <si>
    <t>Ryoko NAKANO</t>
  </si>
  <si>
    <t>Curriculum Code</t>
    <phoneticPr fontId="2"/>
  </si>
  <si>
    <t>Course Title</t>
    <phoneticPr fontId="2"/>
  </si>
  <si>
    <t>Instructor</t>
    <phoneticPr fontId="2"/>
  </si>
  <si>
    <t>Room</t>
    <phoneticPr fontId="2"/>
  </si>
  <si>
    <t>Day</t>
    <phoneticPr fontId="2"/>
  </si>
  <si>
    <t>Friday</t>
    <phoneticPr fontId="2"/>
  </si>
  <si>
    <t>Monday</t>
    <phoneticPr fontId="2"/>
  </si>
  <si>
    <t>Period</t>
    <phoneticPr fontId="2"/>
  </si>
  <si>
    <t>Campus</t>
    <phoneticPr fontId="2"/>
  </si>
  <si>
    <t>Thursday</t>
    <phoneticPr fontId="2"/>
  </si>
  <si>
    <t>StudentID</t>
    <phoneticPr fontId="2"/>
  </si>
  <si>
    <t>School</t>
    <phoneticPr fontId="2"/>
  </si>
  <si>
    <t>Family Name</t>
    <phoneticPr fontId="2"/>
  </si>
  <si>
    <t>First Name</t>
    <phoneticPr fontId="2"/>
  </si>
  <si>
    <t>Independent Study</t>
    <phoneticPr fontId="2"/>
  </si>
  <si>
    <t>Summary of your registration</t>
    <phoneticPr fontId="2"/>
  </si>
  <si>
    <t>The number of couses you register</t>
    <phoneticPr fontId="2"/>
  </si>
  <si>
    <t>Total number of credits you register</t>
    <phoneticPr fontId="2"/>
  </si>
  <si>
    <t>You should take other OU course(1 or 0)</t>
    <phoneticPr fontId="2"/>
  </si>
  <si>
    <t>Name</t>
  </si>
  <si>
    <t>Day</t>
  </si>
  <si>
    <t>Period</t>
  </si>
  <si>
    <t>Curriculum Code</t>
  </si>
  <si>
    <t>Course Title</t>
  </si>
  <si>
    <t>Instructor</t>
  </si>
  <si>
    <t>Campus</t>
  </si>
  <si>
    <t>Room</t>
  </si>
  <si>
    <t>Mon</t>
  </si>
  <si>
    <t>Tue</t>
  </si>
  <si>
    <t>Wed</t>
  </si>
  <si>
    <t>Thu</t>
  </si>
  <si>
    <t>Fri</t>
  </si>
  <si>
    <t>Count</t>
    <phoneticPr fontId="2"/>
  </si>
  <si>
    <t>Column</t>
    <phoneticPr fontId="2"/>
  </si>
  <si>
    <t>Check</t>
    <phoneticPr fontId="2"/>
  </si>
  <si>
    <t>難波　康治　</t>
    <phoneticPr fontId="2"/>
  </si>
  <si>
    <t>Suita</t>
  </si>
  <si>
    <t>Toyonaka</t>
  </si>
  <si>
    <t>魚崎　典子</t>
    <rPh sb="0" eb="2">
      <t>ウオサキ</t>
    </rPh>
    <rPh sb="3" eb="5">
      <t>ノリコ</t>
    </rPh>
    <phoneticPr fontId="21"/>
  </si>
  <si>
    <t>Noriko UOSAKI</t>
  </si>
  <si>
    <t>総合日本語JA400-トラック1</t>
  </si>
  <si>
    <t>StudentID</t>
    <phoneticPr fontId="2"/>
  </si>
  <si>
    <t>Koji NAMBA</t>
    <phoneticPr fontId="2"/>
  </si>
  <si>
    <t>Viktoriya Kim</t>
  </si>
  <si>
    <t>CELAS　Ａ３１５</t>
    <phoneticPr fontId="2"/>
  </si>
  <si>
    <t>Minoh</t>
    <phoneticPr fontId="2"/>
  </si>
  <si>
    <t>Seminar Course for Intercultural Understanding</t>
    <phoneticPr fontId="2"/>
  </si>
  <si>
    <t>ｽﾁｭｰﾃﾞﾝﾄｺﾓﾝｽﾞ／ｾﾐﾅｰ室B</t>
  </si>
  <si>
    <t>CELAS Student Commons Room B</t>
  </si>
  <si>
    <t>881112</t>
    <phoneticPr fontId="2"/>
  </si>
  <si>
    <t>北山　夕華</t>
    <phoneticPr fontId="2"/>
  </si>
  <si>
    <t>Yuka Kintayama</t>
    <phoneticPr fontId="2"/>
  </si>
  <si>
    <t>★Online</t>
  </si>
  <si>
    <t>CELAS　Ｃ２０５</t>
    <phoneticPr fontId="2"/>
  </si>
  <si>
    <t>住吉　秀紀</t>
    <rPh sb="0" eb="2">
      <t>ヒデキ</t>
    </rPh>
    <phoneticPr fontId="2"/>
  </si>
  <si>
    <t>Hideki SUMIYOSHI</t>
  </si>
  <si>
    <t>岡崎　洋三</t>
  </si>
  <si>
    <t xml:space="preserve">Yozo OKAZAKI </t>
  </si>
  <si>
    <t xml:space="preserve">Setsuko KAN </t>
  </si>
  <si>
    <t xml:space="preserve">矢部　正人 </t>
    <rPh sb="0" eb="2">
      <t>マサト</t>
    </rPh>
    <phoneticPr fontId="2"/>
  </si>
  <si>
    <t>Masato Yabe</t>
  </si>
  <si>
    <t>Yoshie FUJISAWA</t>
  </si>
  <si>
    <t>CELAS　Ｃ１０７</t>
    <phoneticPr fontId="2"/>
  </si>
  <si>
    <t>Shinya OTANI</t>
  </si>
  <si>
    <t>ｴﾙﾊﾞﾙﾃｨ ﾍﾞﾘｰｸﾞ</t>
  </si>
  <si>
    <t>Topics in Japanese Law</t>
    <phoneticPr fontId="2"/>
  </si>
  <si>
    <t>Toyonaka</t>
    <phoneticPr fontId="2"/>
  </si>
  <si>
    <t>近藤　佐知彦／三森　八重子</t>
    <rPh sb="0" eb="2">
      <t>コンドウ</t>
    </rPh>
    <rPh sb="3" eb="5">
      <t>サチ</t>
    </rPh>
    <rPh sb="5" eb="6">
      <t>ヒコ</t>
    </rPh>
    <rPh sb="7" eb="9">
      <t>ミツモリ</t>
    </rPh>
    <rPh sb="10" eb="13">
      <t>ヤエコ</t>
    </rPh>
    <phoneticPr fontId="2"/>
  </si>
  <si>
    <t>Sachohiko KONDO / Yaeko MITSUMORI</t>
    <phoneticPr fontId="2"/>
  </si>
  <si>
    <t>ｻｲﾊﾞｰﾒﾃﾞｨｱｾﾝﾀｰ／CALL第１－Ｂ教室</t>
    <phoneticPr fontId="2"/>
  </si>
  <si>
    <t>Cybermedia Center, CALL Room No. 1－B</t>
    <phoneticPr fontId="2"/>
  </si>
  <si>
    <t>岡田　亜矢子　</t>
    <rPh sb="0" eb="2">
      <t>アヤコ</t>
    </rPh>
    <phoneticPr fontId="2"/>
  </si>
  <si>
    <t>Ayako OKADA</t>
  </si>
  <si>
    <t>花井　理香　</t>
    <rPh sb="0" eb="2">
      <t>リカ</t>
    </rPh>
    <phoneticPr fontId="2"/>
  </si>
  <si>
    <t>Rika HANAI</t>
  </si>
  <si>
    <t>CELAS　Ｃ３０４</t>
    <phoneticPr fontId="2"/>
  </si>
  <si>
    <t xml:space="preserve">上仲　淳 </t>
    <rPh sb="0" eb="1">
      <t>ジュンナオコ</t>
    </rPh>
    <phoneticPr fontId="2"/>
  </si>
  <si>
    <t>Jun UENAKA</t>
  </si>
  <si>
    <t xml:space="preserve">半田　佳奈子 </t>
    <rPh sb="0" eb="3">
      <t>カナコナオコ</t>
    </rPh>
    <phoneticPr fontId="2"/>
  </si>
  <si>
    <t>Kanako HANDA</t>
  </si>
  <si>
    <t>Yozo OKAZAKI</t>
  </si>
  <si>
    <t>CELAS　Ｃ２０４</t>
    <phoneticPr fontId="2"/>
  </si>
  <si>
    <t>小原　俊彦</t>
  </si>
  <si>
    <t>Toshihiko OBARA</t>
  </si>
  <si>
    <t>比較法の諸問題</t>
    <phoneticPr fontId="2"/>
  </si>
  <si>
    <t>Suita</t>
    <phoneticPr fontId="2"/>
  </si>
  <si>
    <t>人間科学部／本館３２講義室</t>
    <rPh sb="0" eb="2">
      <t>ニンゲン</t>
    </rPh>
    <rPh sb="2" eb="4">
      <t>カガク</t>
    </rPh>
    <rPh sb="4" eb="5">
      <t>ブ</t>
    </rPh>
    <phoneticPr fontId="2"/>
  </si>
  <si>
    <t>ｻｲﾊﾞｰﾒﾃﾞｨｱｾﾝﾀｰ／CALL第４教室</t>
    <phoneticPr fontId="2"/>
  </si>
  <si>
    <t>Cybermedia Center/CALL Room４</t>
    <phoneticPr fontId="2"/>
  </si>
  <si>
    <t>近藤　佐知彦</t>
  </si>
  <si>
    <t>蔭山　拓 　</t>
    <rPh sb="0" eb="2">
      <t>ヒロシ</t>
    </rPh>
    <phoneticPr fontId="2"/>
  </si>
  <si>
    <t>Hiroshi KAGEYAMA</t>
  </si>
  <si>
    <t>上田　安希子</t>
    <rPh sb="0" eb="2">
      <t>ウエダ</t>
    </rPh>
    <phoneticPr fontId="2"/>
  </si>
  <si>
    <t>Akiko UEDA</t>
  </si>
  <si>
    <t>CELAS　Ａ１０１</t>
    <phoneticPr fontId="2"/>
  </si>
  <si>
    <t>CELAS　Ａ１０３</t>
    <phoneticPr fontId="2"/>
  </si>
  <si>
    <t>CELAS　Ａ００２</t>
    <phoneticPr fontId="2"/>
  </si>
  <si>
    <t>伊藤　創</t>
  </si>
  <si>
    <t>ｼﾞｮﾝ　ﾊﾝﾌﾟﾄﾝ　ｲﾉ</t>
  </si>
  <si>
    <t>John Hampton INO</t>
  </si>
  <si>
    <t>村上スミス・アンドリュー</t>
    <phoneticPr fontId="2"/>
  </si>
  <si>
    <t>Andrew MURAKAMI-SMITH</t>
    <phoneticPr fontId="2"/>
  </si>
  <si>
    <t>ビクトリヤ　キム</t>
  </si>
  <si>
    <t>人間科学部／本館３１講義室</t>
    <rPh sb="0" eb="2">
      <t>ニンゲン</t>
    </rPh>
    <rPh sb="2" eb="4">
      <t>カガク</t>
    </rPh>
    <rPh sb="4" eb="5">
      <t>ブ</t>
    </rPh>
    <phoneticPr fontId="2"/>
  </si>
  <si>
    <t>-</t>
  </si>
  <si>
    <t>Intership Course</t>
    <phoneticPr fontId="2"/>
  </si>
  <si>
    <t>Credit</t>
    <phoneticPr fontId="2"/>
  </si>
  <si>
    <r>
      <t>2021（令和３）年度 秋・冬</t>
    </r>
    <r>
      <rPr>
        <b/>
        <sz val="18"/>
        <rFont val="Arial Rounded MT Bold"/>
        <family val="2"/>
      </rPr>
      <t xml:space="preserve"> </t>
    </r>
    <r>
      <rPr>
        <b/>
        <sz val="18"/>
        <rFont val="ＭＳ Ｐゴシック"/>
        <family val="3"/>
        <charset val="128"/>
      </rPr>
      <t>学期</t>
    </r>
    <r>
      <rPr>
        <b/>
        <sz val="18"/>
        <rFont val="Arial Rounded MT Bold"/>
        <family val="2"/>
      </rPr>
      <t xml:space="preserve">   </t>
    </r>
    <r>
      <rPr>
        <b/>
        <sz val="18"/>
        <rFont val="ＭＳ Ｐゴシック"/>
        <family val="3"/>
        <charset val="128"/>
      </rPr>
      <t xml:space="preserve">国際交流科目授業時間割
</t>
    </r>
    <r>
      <rPr>
        <b/>
        <sz val="18"/>
        <rFont val="Arial Rounded MT Bold"/>
        <family val="2"/>
      </rPr>
      <t>International Exchange Subjects Timetable for the Fall/Winter Semester, 2021</t>
    </r>
    <rPh sb="12" eb="13">
      <t>アキ</t>
    </rPh>
    <rPh sb="14" eb="15">
      <t>フユ</t>
    </rPh>
    <phoneticPr fontId="2"/>
  </si>
  <si>
    <t>Registration</t>
  </si>
  <si>
    <t>881229</t>
    <phoneticPr fontId="2"/>
  </si>
  <si>
    <t>総合日本語JA100-トラック1　</t>
    <phoneticPr fontId="2"/>
  </si>
  <si>
    <t>豊中総合学館／５０１講義室</t>
    <rPh sb="10" eb="13">
      <t>コウギシツ</t>
    </rPh>
    <phoneticPr fontId="2"/>
  </si>
  <si>
    <t>全学教育／共Ａ３０４</t>
    <phoneticPr fontId="4"/>
  </si>
  <si>
    <t>Japanese JA100 - Track 1　　(Tue1,  Wed1,  Thu1)</t>
    <phoneticPr fontId="2"/>
  </si>
  <si>
    <t>Common Hall for Humanities and Social Sciences, Room 501</t>
    <phoneticPr fontId="2"/>
  </si>
  <si>
    <t>CELAS　Ａ３０４</t>
    <phoneticPr fontId="2"/>
  </si>
  <si>
    <t>881230</t>
    <phoneticPr fontId="2"/>
  </si>
  <si>
    <t xml:space="preserve">総合日本語JA100-トラック2 </t>
    <phoneticPr fontId="2"/>
  </si>
  <si>
    <t>全学教育／共Ａ３０５</t>
    <phoneticPr fontId="4"/>
  </si>
  <si>
    <t>Japanese JA100 - Track 2  　　(Tue1,  Wed1,  Thu1)</t>
    <phoneticPr fontId="2"/>
  </si>
  <si>
    <t>Common Hall for Humanities and Social Sciences, Room 501</t>
  </si>
  <si>
    <t>CELAS　Ａ３０５</t>
  </si>
  <si>
    <t>881233</t>
    <phoneticPr fontId="2"/>
  </si>
  <si>
    <t>総合日本語JA100-トラック3</t>
  </si>
  <si>
    <t>全学教育／共Ａ３１５</t>
    <phoneticPr fontId="4"/>
  </si>
  <si>
    <t>Japanese JA100 - Track 3　　　(Tue2,  Wed1,  Thu1)</t>
    <phoneticPr fontId="2"/>
  </si>
  <si>
    <t>881231</t>
    <phoneticPr fontId="2"/>
  </si>
  <si>
    <t xml:space="preserve">総合日本語JA200-トラック1  </t>
    <phoneticPr fontId="2"/>
  </si>
  <si>
    <t>福良　直子</t>
    <rPh sb="0" eb="2">
      <t>フクラ</t>
    </rPh>
    <rPh sb="3" eb="5">
      <t>ナオコ</t>
    </rPh>
    <phoneticPr fontId="2"/>
  </si>
  <si>
    <t>全学教育／共Ｃ３０５</t>
    <phoneticPr fontId="2"/>
  </si>
  <si>
    <t>全学教育／共Ｃ１０７</t>
    <phoneticPr fontId="4"/>
  </si>
  <si>
    <t>Japanese JA200 - Track 1  　　(Tue1,  Wed1,  Thu1)</t>
    <phoneticPr fontId="2"/>
  </si>
  <si>
    <t>Naoko FUKURA</t>
    <phoneticPr fontId="2"/>
  </si>
  <si>
    <t>CELAS　Ｃ３０５</t>
    <phoneticPr fontId="2"/>
  </si>
  <si>
    <t>881232</t>
    <phoneticPr fontId="2"/>
  </si>
  <si>
    <t xml:space="preserve">総合日本語JA200-トラック2  </t>
    <phoneticPr fontId="2"/>
  </si>
  <si>
    <t>全学教育／共Ｃ２０５</t>
    <phoneticPr fontId="4"/>
  </si>
  <si>
    <t>Japanese JA200 - Track 2  　　(Tue1,  Wed1,  Thu1)</t>
    <phoneticPr fontId="2"/>
  </si>
  <si>
    <t>881234</t>
    <phoneticPr fontId="2"/>
  </si>
  <si>
    <t xml:space="preserve">総合日本語JA300-トラック1 </t>
    <phoneticPr fontId="2"/>
  </si>
  <si>
    <t>住吉　秀紀</t>
  </si>
  <si>
    <t>全学教育／共Ｃ１０７</t>
    <phoneticPr fontId="2"/>
  </si>
  <si>
    <t>西口　光一　</t>
    <phoneticPr fontId="2"/>
  </si>
  <si>
    <t>全学教育／共Ｃ３０５</t>
    <phoneticPr fontId="4"/>
  </si>
  <si>
    <t>Japanese JA300 - Track 1  　　(Tue1,  Wed1,  Thu1)</t>
    <phoneticPr fontId="2"/>
  </si>
  <si>
    <t>CELAS　Ｃ１０７</t>
  </si>
  <si>
    <t>881235</t>
    <phoneticPr fontId="2"/>
  </si>
  <si>
    <t xml:space="preserve">総合日本語JA300-トラック2  </t>
    <phoneticPr fontId="2"/>
  </si>
  <si>
    <t>上田　安希子</t>
  </si>
  <si>
    <t>全学教育／共Ｃ２０３</t>
    <phoneticPr fontId="2"/>
  </si>
  <si>
    <t>総合日本語JA300-トラック2</t>
  </si>
  <si>
    <t>Japanese JA300 - Track 2  　　(Tue1,  Wed1,  Thu1)</t>
    <phoneticPr fontId="2"/>
  </si>
  <si>
    <t>CELAS　Ｃ２０３　</t>
  </si>
  <si>
    <t>Japanese JA300 - Track 2   　(Tue1,  Wed1,  Thu1)</t>
    <phoneticPr fontId="2"/>
  </si>
  <si>
    <t>CELAS　Ｃ３０５</t>
  </si>
  <si>
    <t>881236</t>
    <phoneticPr fontId="2"/>
  </si>
  <si>
    <t>総合日本語JA400-トラック1</t>
    <phoneticPr fontId="2"/>
  </si>
  <si>
    <t xml:space="preserve">菅　摂子 </t>
  </si>
  <si>
    <t>全学教育／共Ｃ４０７</t>
    <phoneticPr fontId="2"/>
  </si>
  <si>
    <t>岡崎　洋三</t>
    <rPh sb="0" eb="2">
      <t>ヨウゾウ</t>
    </rPh>
    <phoneticPr fontId="2"/>
  </si>
  <si>
    <t>全学教育／共Ｃ３０４</t>
    <phoneticPr fontId="4"/>
  </si>
  <si>
    <t>Japanese JA400 - Track 1  　　(Tue1,  Wed1,  Thu1)</t>
    <phoneticPr fontId="2"/>
  </si>
  <si>
    <t>CELAS　Ｃ４０７</t>
    <phoneticPr fontId="2"/>
  </si>
  <si>
    <t>881237</t>
    <phoneticPr fontId="2"/>
  </si>
  <si>
    <t xml:space="preserve">総合日本語JA400-トラック2  </t>
    <phoneticPr fontId="2"/>
  </si>
  <si>
    <t xml:space="preserve">矢部　正人 </t>
  </si>
  <si>
    <t>全学教育／共Ａ１０３</t>
    <phoneticPr fontId="2"/>
  </si>
  <si>
    <t>全学教育／共Ｃ１０５</t>
    <phoneticPr fontId="4"/>
  </si>
  <si>
    <t>Japanese JA400 - Track 2  　　(Tue1,  Wed1,  Thu1)</t>
    <phoneticPr fontId="2"/>
  </si>
  <si>
    <t>CELAS　Ｃ１０５</t>
    <phoneticPr fontId="2"/>
  </si>
  <si>
    <t>881282</t>
    <phoneticPr fontId="2"/>
  </si>
  <si>
    <t>日本語・グローバル理解演習JGU500a</t>
    <phoneticPr fontId="2"/>
  </si>
  <si>
    <t>大谷　晋也</t>
  </si>
  <si>
    <t>全学教育／共Ｂ２０６</t>
    <phoneticPr fontId="2"/>
  </si>
  <si>
    <t>881283</t>
    <phoneticPr fontId="2"/>
  </si>
  <si>
    <t>日本語・グローバル理解演習JGU500b</t>
    <phoneticPr fontId="2"/>
  </si>
  <si>
    <t>藤澤　好恵</t>
  </si>
  <si>
    <t>全学教育／共Ｃ３０３</t>
    <phoneticPr fontId="4"/>
  </si>
  <si>
    <t>Seminar in Japanese and Global Understanding JGU500a</t>
    <phoneticPr fontId="2"/>
  </si>
  <si>
    <t>CELAS　Ｂ２０６</t>
    <phoneticPr fontId="2"/>
  </si>
  <si>
    <t>Seminar in Japanese and Global Understanding JGU500b</t>
    <phoneticPr fontId="2"/>
  </si>
  <si>
    <t>CELAS　Ｃ３０３</t>
    <phoneticPr fontId="2"/>
  </si>
  <si>
    <t>881273</t>
    <phoneticPr fontId="2"/>
  </si>
  <si>
    <t>日本語・グローバル理解演習JGU600a</t>
    <phoneticPr fontId="2"/>
  </si>
  <si>
    <t>全学教育／共Ｂ３０６</t>
    <phoneticPr fontId="2"/>
  </si>
  <si>
    <t>881274</t>
    <phoneticPr fontId="2"/>
  </si>
  <si>
    <t>日本語・グローバル理解演習JGU600b</t>
    <phoneticPr fontId="2"/>
  </si>
  <si>
    <t>全学教育／共Ｃ４０４</t>
    <phoneticPr fontId="4"/>
  </si>
  <si>
    <t>Seminar in Japanese and Global Understanding JGU600a</t>
    <phoneticPr fontId="2"/>
  </si>
  <si>
    <t>CELAS　Ｂ３０６</t>
  </si>
  <si>
    <t>Seminar in Japanese and Global Understanding JGU600b</t>
    <phoneticPr fontId="2"/>
  </si>
  <si>
    <t>Shinya OTANI</t>
    <phoneticPr fontId="2"/>
  </si>
  <si>
    <t>CELAS　Ｃ４０４</t>
    <phoneticPr fontId="2"/>
  </si>
  <si>
    <r>
      <rPr>
        <b/>
        <sz val="9"/>
        <color rgb="FFFF0000"/>
        <rFont val="ＭＳ Ｐゴシック"/>
        <family val="3"/>
        <charset val="128"/>
      </rPr>
      <t>【注意!】</t>
    </r>
    <r>
      <rPr>
        <sz val="9"/>
        <color rgb="FFFF0000"/>
        <rFont val="ＭＳ Ｐゴシック"/>
        <family val="3"/>
        <charset val="128"/>
      </rPr>
      <t>　火・水・木の1限 にJA/JGU日本語を受講する場合は、2限に吹田キャンパス開講の授業を受講できません。</t>
    </r>
    <rPh sb="1" eb="3">
      <t>チュウイ</t>
    </rPh>
    <rPh sb="6" eb="7">
      <t>カ</t>
    </rPh>
    <rPh sb="8" eb="9">
      <t>スイ</t>
    </rPh>
    <rPh sb="10" eb="11">
      <t>モク</t>
    </rPh>
    <rPh sb="13" eb="14">
      <t>キリ</t>
    </rPh>
    <rPh sb="22" eb="25">
      <t>ニホンゴ</t>
    </rPh>
    <rPh sb="26" eb="28">
      <t>ジュコウ</t>
    </rPh>
    <rPh sb="30" eb="32">
      <t>バアイ</t>
    </rPh>
    <rPh sb="35" eb="36">
      <t>キリ</t>
    </rPh>
    <rPh sb="37" eb="39">
      <t>スイタ</t>
    </rPh>
    <rPh sb="44" eb="46">
      <t>カイコウ</t>
    </rPh>
    <rPh sb="47" eb="49">
      <t>ジュギョウ</t>
    </rPh>
    <rPh sb="50" eb="52">
      <t>ジュコウ</t>
    </rPh>
    <phoneticPr fontId="2"/>
  </si>
  <si>
    <r>
      <rPr>
        <b/>
        <sz val="9"/>
        <color rgb="FFFF0000"/>
        <rFont val="ＭＳ Ｐゴシック"/>
        <family val="3"/>
        <charset val="128"/>
      </rPr>
      <t>【Note!】</t>
    </r>
    <r>
      <rPr>
        <sz val="9"/>
        <color rgb="FFFF0000"/>
        <rFont val="ＭＳ Ｐゴシック"/>
        <family val="3"/>
        <charset val="128"/>
      </rPr>
      <t xml:space="preserve"> If you take JA/JGU Japanese in the 1st period on Tue, Wed, and Thu, you cannot take the classes in Suita Campus in the 2nd period.</t>
    </r>
    <phoneticPr fontId="2"/>
  </si>
  <si>
    <t>社会学　</t>
    <phoneticPr fontId="2"/>
  </si>
  <si>
    <t>Christian Etzrodt</t>
    <phoneticPr fontId="2"/>
  </si>
  <si>
    <t>難波　康治　</t>
  </si>
  <si>
    <t>881217</t>
    <phoneticPr fontId="2"/>
  </si>
  <si>
    <t>★オンライン</t>
  </si>
  <si>
    <t>Sociological Theory</t>
    <phoneticPr fontId="2"/>
  </si>
  <si>
    <t>HUS, Room 31</t>
    <phoneticPr fontId="2"/>
  </si>
  <si>
    <t>Koji NAMBA</t>
  </si>
  <si>
    <t>Topics in Comparative Law</t>
  </si>
  <si>
    <t>応用理工学入門</t>
    <phoneticPr fontId="2"/>
  </si>
  <si>
    <t>大畑　充
OHATA　Mitsuru</t>
    <phoneticPr fontId="2"/>
  </si>
  <si>
    <t>881218</t>
    <phoneticPr fontId="2"/>
  </si>
  <si>
    <t>日本法の諸問題</t>
    <phoneticPr fontId="2"/>
  </si>
  <si>
    <t>881107</t>
    <phoneticPr fontId="2"/>
  </si>
  <si>
    <t>戦略とイノベーションの歴史</t>
    <phoneticPr fontId="2"/>
  </si>
  <si>
    <t>ｼｬ ﾁｪﾝｼｬｵ</t>
  </si>
  <si>
    <t>Introduction of Mechanical, Materials and Manufacturing Science</t>
    <phoneticPr fontId="2"/>
  </si>
  <si>
    <t>History of Strategy and Innovation</t>
    <phoneticPr fontId="2"/>
  </si>
  <si>
    <t>Xia Chenxiao</t>
  </si>
  <si>
    <t>CELAS　Ｃ３０４</t>
  </si>
  <si>
    <t>移動の社会学</t>
    <rPh sb="0" eb="2">
      <t>イドウ</t>
    </rPh>
    <rPh sb="3" eb="6">
      <t>シャカイガク</t>
    </rPh>
    <phoneticPr fontId="2"/>
  </si>
  <si>
    <t>人間科学部／東３１６講義室</t>
    <rPh sb="4" eb="5">
      <t>ブ</t>
    </rPh>
    <rPh sb="10" eb="13">
      <t>コウギシツ</t>
    </rPh>
    <phoneticPr fontId="2"/>
  </si>
  <si>
    <t>Sociology of Migration</t>
    <phoneticPr fontId="2"/>
  </si>
  <si>
    <t>HUS, E316</t>
    <phoneticPr fontId="2"/>
  </si>
  <si>
    <t>国際理解入門</t>
    <phoneticPr fontId="2"/>
  </si>
  <si>
    <t>藤田　清士</t>
    <phoneticPr fontId="2"/>
  </si>
  <si>
    <t>工学部／C１-１１１</t>
    <rPh sb="0" eb="3">
      <t>コウガクブ</t>
    </rPh>
    <phoneticPr fontId="4"/>
  </si>
  <si>
    <t>881251</t>
    <phoneticPr fontId="2"/>
  </si>
  <si>
    <t>ソーシャルイノベーションとソーシャルデザイン</t>
    <phoneticPr fontId="2"/>
  </si>
  <si>
    <t>全学教育／共Ｃ２０８ (ＨＡＬＣ4 ）</t>
    <phoneticPr fontId="2"/>
  </si>
  <si>
    <t>881105</t>
    <phoneticPr fontId="2"/>
  </si>
  <si>
    <t>特別講義（比較契約法・不法行為法の諸問題）</t>
    <phoneticPr fontId="2"/>
  </si>
  <si>
    <t>ﾚｵﾅﾙﾄﾞ ﾁｱﾉ</t>
    <phoneticPr fontId="2"/>
  </si>
  <si>
    <t>Introduction to International Understanding</t>
    <phoneticPr fontId="2"/>
  </si>
  <si>
    <t>FUJITA Kiyoshi</t>
    <phoneticPr fontId="2"/>
  </si>
  <si>
    <t>School of  Engineering,  C1-111</t>
    <phoneticPr fontId="2"/>
  </si>
  <si>
    <t>Social Innovation and Social Design</t>
    <phoneticPr fontId="2"/>
  </si>
  <si>
    <t>CELAS　Ｃ２０８ (ＨＡＬＣ4 ）</t>
    <phoneticPr fontId="2"/>
  </si>
  <si>
    <t xml:space="preserve">Special lecture (Topics in Comparative Contract and Torts Law） </t>
    <phoneticPr fontId="2"/>
  </si>
  <si>
    <t>Leonardo Ciano</t>
    <phoneticPr fontId="2"/>
  </si>
  <si>
    <t>881247</t>
    <phoneticPr fontId="2"/>
  </si>
  <si>
    <t>言語コミュニケーションとパフォーマンス</t>
    <rPh sb="0" eb="2">
      <t>ゲンゴ</t>
    </rPh>
    <phoneticPr fontId="2"/>
  </si>
  <si>
    <t>Language　Communication and Performance</t>
    <phoneticPr fontId="2"/>
  </si>
  <si>
    <t>多変量統計科学</t>
    <rPh sb="0" eb="3">
      <t>タヘンリョウ</t>
    </rPh>
    <rPh sb="3" eb="5">
      <t>トウケイ</t>
    </rPh>
    <rPh sb="5" eb="7">
      <t>カガク</t>
    </rPh>
    <phoneticPr fontId="2"/>
  </si>
  <si>
    <t>足立　浩平</t>
    <rPh sb="0" eb="2">
      <t>アダチ</t>
    </rPh>
    <rPh sb="3" eb="5">
      <t>コウヘイ</t>
    </rPh>
    <phoneticPr fontId="2"/>
  </si>
  <si>
    <t>881228</t>
    <phoneticPr fontId="2"/>
  </si>
  <si>
    <t>コンピュータを活用した語学学習</t>
  </si>
  <si>
    <t>881281</t>
    <phoneticPr fontId="2"/>
  </si>
  <si>
    <t>異文化コミュニケーション入門</t>
    <phoneticPr fontId="2"/>
  </si>
  <si>
    <t>石倉　佑季子</t>
    <phoneticPr fontId="2"/>
  </si>
  <si>
    <t>Multivariate Statistical Science</t>
    <phoneticPr fontId="2"/>
  </si>
  <si>
    <t>Kohei Adachi</t>
    <phoneticPr fontId="2"/>
  </si>
  <si>
    <t>Computers in Language Learning</t>
  </si>
  <si>
    <t>Introduction to Intercultural Communication</t>
    <phoneticPr fontId="2"/>
  </si>
  <si>
    <t xml:space="preserve">Yukiko ISHIKURA </t>
    <phoneticPr fontId="2"/>
  </si>
  <si>
    <t>881132</t>
    <phoneticPr fontId="2"/>
  </si>
  <si>
    <t>生体医工学への招待</t>
  </si>
  <si>
    <t>清野　健</t>
    <phoneticPr fontId="2"/>
  </si>
  <si>
    <t>Introduction to biomedical enginnering</t>
    <phoneticPr fontId="2"/>
  </si>
  <si>
    <t>KIYONO Ken</t>
    <phoneticPr fontId="2"/>
  </si>
  <si>
    <t>881207</t>
    <phoneticPr fontId="2"/>
  </si>
  <si>
    <t>日本のサル学</t>
    <rPh sb="0" eb="2">
      <t>ニホン</t>
    </rPh>
    <rPh sb="5" eb="6">
      <t>ガク</t>
    </rPh>
    <phoneticPr fontId="2"/>
  </si>
  <si>
    <t>ｼﾞェ-ﾑス ｱﾝﾀﾞｰｿﾝ</t>
    <phoneticPr fontId="2"/>
  </si>
  <si>
    <t>人間科学部／東３１６教室</t>
    <rPh sb="4" eb="5">
      <t>ブ</t>
    </rPh>
    <phoneticPr fontId="2"/>
  </si>
  <si>
    <t>Primatology in Japan</t>
  </si>
  <si>
    <t>James Anderson</t>
  </si>
  <si>
    <t>宇宙地球科学への招待</t>
    <rPh sb="0" eb="2">
      <t>ウチュウ</t>
    </rPh>
    <rPh sb="2" eb="4">
      <t>チキュウ</t>
    </rPh>
    <rPh sb="4" eb="6">
      <t>カガク</t>
    </rPh>
    <rPh sb="8" eb="10">
      <t>ショウタイ</t>
    </rPh>
    <phoneticPr fontId="2"/>
  </si>
  <si>
    <t>松本　浩典</t>
    <phoneticPr fontId="2"/>
  </si>
  <si>
    <t>881226</t>
    <phoneticPr fontId="2"/>
  </si>
  <si>
    <t>日本のメディアとコミュニケーション</t>
  </si>
  <si>
    <t>全学教育／共Ｃ１０１</t>
    <phoneticPr fontId="4"/>
  </si>
  <si>
    <t>Introduction To Earth and Space Science</t>
    <phoneticPr fontId="2"/>
  </si>
  <si>
    <t>Hironori Matsumoto</t>
    <phoneticPr fontId="2"/>
  </si>
  <si>
    <t>Media and Communications in Japan</t>
  </si>
  <si>
    <t>CELAS　Ｃ１０１</t>
    <phoneticPr fontId="2"/>
  </si>
  <si>
    <t>881220</t>
    <phoneticPr fontId="2"/>
  </si>
  <si>
    <t>精密科学入門</t>
  </si>
  <si>
    <t>荻　博次</t>
    <phoneticPr fontId="2"/>
  </si>
  <si>
    <t>Introduction to Precision Science and Technology</t>
  </si>
  <si>
    <t xml:space="preserve">OGI Hirotsugu </t>
    <phoneticPr fontId="2"/>
  </si>
  <si>
    <t>881289</t>
  </si>
  <si>
    <t>UC Frontier Science Ⅱ</t>
    <phoneticPr fontId="2"/>
  </si>
  <si>
    <t>【10月～2月の第1週目（木2・金1・金2）】</t>
    <rPh sb="13" eb="14">
      <t>モク</t>
    </rPh>
    <rPh sb="16" eb="17">
      <t>キン</t>
    </rPh>
    <rPh sb="19" eb="20">
      <t>キン</t>
    </rPh>
    <phoneticPr fontId="2"/>
  </si>
  <si>
    <t>全学教育／共Ｃ２０４</t>
    <phoneticPr fontId="4"/>
  </si>
  <si>
    <t>全学教育／共Ａ１０１</t>
    <phoneticPr fontId="4"/>
  </si>
  <si>
    <t>Japanese JA100 - Track 3　　　　(Tue2,  Wed1,  Thu1)</t>
    <phoneticPr fontId="2"/>
  </si>
  <si>
    <t>全学教育／共Ａ００１</t>
    <phoneticPr fontId="4"/>
  </si>
  <si>
    <t>CELAS　Ａ００１</t>
    <phoneticPr fontId="2"/>
  </si>
  <si>
    <t>全学教育／共Ａ００２</t>
    <phoneticPr fontId="4"/>
  </si>
  <si>
    <t>総合日本語JA300-トラック1</t>
  </si>
  <si>
    <t>文学部　芸術研究棟／芸１講義室</t>
  </si>
  <si>
    <t>Japanese JA300 - Track 1    (Tue1,  Wed1,  Thu1)</t>
    <phoneticPr fontId="2"/>
  </si>
  <si>
    <t>School of Letters／Arts Studies Room 1</t>
  </si>
  <si>
    <t>文学部　芸術研究棟／芸３講義室</t>
    <phoneticPr fontId="2"/>
  </si>
  <si>
    <t>Japanese JA300 - Track 2    (Tue1,  Wed1,  Thu1)</t>
    <phoneticPr fontId="2"/>
  </si>
  <si>
    <t>School of Letters／Arts Studies Room 3</t>
    <phoneticPr fontId="2"/>
  </si>
  <si>
    <t>義永　美央子</t>
    <rPh sb="5" eb="6">
      <t>コ</t>
    </rPh>
    <phoneticPr fontId="2"/>
  </si>
  <si>
    <t>全学教育／共Ａ２１４</t>
    <phoneticPr fontId="4"/>
  </si>
  <si>
    <t>Japanese JA400 - Track 1 　　(Tue1,  Wed1,  Thu1)</t>
    <phoneticPr fontId="2"/>
  </si>
  <si>
    <t>Mioko YOSHINAGA</t>
    <phoneticPr fontId="2"/>
  </si>
  <si>
    <t>CELAS　Ａ２１４</t>
    <phoneticPr fontId="2"/>
  </si>
  <si>
    <t>総合日本語JA400-トラック2</t>
  </si>
  <si>
    <t>Japanese JA400 - Track 2 　　(Tue1,  Wed1,  Thu1)</t>
    <phoneticPr fontId="2"/>
  </si>
  <si>
    <t>CELAS　Ａ２１４</t>
  </si>
  <si>
    <t>881284</t>
    <phoneticPr fontId="2"/>
  </si>
  <si>
    <t>日本語・グローバル理解演習JGU500c</t>
    <phoneticPr fontId="2"/>
  </si>
  <si>
    <t>文学部　文法経本館4階／４６１講義室</t>
    <phoneticPr fontId="2"/>
  </si>
  <si>
    <t>Seminar in Japanese and Global Understanding JGU500c</t>
    <phoneticPr fontId="2"/>
  </si>
  <si>
    <t>Hajime　ITO</t>
  </si>
  <si>
    <t>School of Letters／Main Bld. (Let.Law.Econ.)Room 461</t>
    <phoneticPr fontId="2"/>
  </si>
  <si>
    <t>881275</t>
    <phoneticPr fontId="2"/>
  </si>
  <si>
    <t>日本語・グローバル理解演習JGU600c</t>
    <phoneticPr fontId="2"/>
  </si>
  <si>
    <t>基礎工学部／B３０３講義室</t>
    <rPh sb="0" eb="2">
      <t>キソ</t>
    </rPh>
    <phoneticPr fontId="1"/>
  </si>
  <si>
    <t>Seminar in Japanese and Global Understanding JGU600c</t>
    <phoneticPr fontId="2"/>
  </si>
  <si>
    <t>School of Engineering Science/Room B303</t>
    <phoneticPr fontId="2"/>
  </si>
  <si>
    <t>881289</t>
    <phoneticPr fontId="2"/>
  </si>
  <si>
    <r>
      <t>UC Frontier Science</t>
    </r>
    <r>
      <rPr>
        <sz val="9"/>
        <rFont val="ＭＳ Ｐゴシック"/>
        <family val="3"/>
        <charset val="128"/>
      </rPr>
      <t xml:space="preserve"> Ⅱ</t>
    </r>
    <phoneticPr fontId="2"/>
  </si>
  <si>
    <r>
      <t>UC Frontier Science</t>
    </r>
    <r>
      <rPr>
        <sz val="9"/>
        <color rgb="FFFF0000"/>
        <rFont val="ＭＳ Ｐゴシック"/>
        <family val="3"/>
        <charset val="128"/>
      </rPr>
      <t xml:space="preserve"> </t>
    </r>
    <r>
      <rPr>
        <sz val="9"/>
        <rFont val="ＭＳ Ｐゴシック"/>
        <family val="3"/>
        <charset val="128"/>
      </rPr>
      <t>Ⅱ</t>
    </r>
    <phoneticPr fontId="2"/>
  </si>
  <si>
    <t>881222</t>
    <phoneticPr fontId="2"/>
  </si>
  <si>
    <t>近代・現代日本文学</t>
    <phoneticPr fontId="2"/>
  </si>
  <si>
    <t>メディア社会学</t>
    <rPh sb="4" eb="7">
      <t>シャカイガク</t>
    </rPh>
    <phoneticPr fontId="2"/>
  </si>
  <si>
    <t>未定（9月下旬決定）</t>
    <rPh sb="0" eb="2">
      <t>ミテイ</t>
    </rPh>
    <rPh sb="4" eb="5">
      <t>ガツ</t>
    </rPh>
    <rPh sb="5" eb="7">
      <t>ゲジュン</t>
    </rPh>
    <rPh sb="7" eb="9">
      <t>ケッテイ</t>
    </rPh>
    <phoneticPr fontId="2"/>
  </si>
  <si>
    <t>Japanese Literature, Modern and Contemporary</t>
    <phoneticPr fontId="2"/>
  </si>
  <si>
    <t>Media Sociology</t>
    <phoneticPr fontId="2"/>
  </si>
  <si>
    <t>881286</t>
    <phoneticPr fontId="2"/>
  </si>
  <si>
    <t>日本における多様性と人権</t>
    <phoneticPr fontId="2"/>
  </si>
  <si>
    <t>Diversity and Human Rights in Japan</t>
    <phoneticPr fontId="2"/>
  </si>
  <si>
    <t>HUS, Room 32</t>
    <phoneticPr fontId="2"/>
  </si>
  <si>
    <t>881243</t>
    <phoneticPr fontId="2"/>
  </si>
  <si>
    <t xml:space="preserve">科学と社会 </t>
    <phoneticPr fontId="2"/>
  </si>
  <si>
    <t>岡本　紗知</t>
    <rPh sb="0" eb="2">
      <t>オカモト</t>
    </rPh>
    <rPh sb="3" eb="5">
      <t>サチ</t>
    </rPh>
    <phoneticPr fontId="2"/>
  </si>
  <si>
    <t>881104</t>
    <phoneticPr fontId="2"/>
  </si>
  <si>
    <t>歴史学と史資料</t>
    <phoneticPr fontId="2"/>
  </si>
  <si>
    <t>中谷　惣</t>
    <phoneticPr fontId="2"/>
  </si>
  <si>
    <t>Science and Society</t>
    <phoneticPr fontId="2"/>
  </si>
  <si>
    <t>Sachi OKAMOTO</t>
    <phoneticPr fontId="2"/>
  </si>
  <si>
    <t>History and historical sources</t>
    <phoneticPr fontId="2"/>
  </si>
  <si>
    <t xml:space="preserve">NAKAYA So </t>
    <phoneticPr fontId="2"/>
  </si>
  <si>
    <t>881227</t>
    <phoneticPr fontId="2"/>
  </si>
  <si>
    <t>文化：その理解へのアプローチ</t>
    <rPh sb="0" eb="2">
      <t>ブンカ</t>
    </rPh>
    <rPh sb="5" eb="7">
      <t>リカイ</t>
    </rPh>
    <phoneticPr fontId="2"/>
  </si>
  <si>
    <t>有川　友子</t>
    <rPh sb="0" eb="2">
      <t>アリカワ</t>
    </rPh>
    <rPh sb="3" eb="5">
      <t>トモコ</t>
    </rPh>
    <phoneticPr fontId="2"/>
  </si>
  <si>
    <t>881215</t>
    <phoneticPr fontId="2"/>
  </si>
  <si>
    <t>異文化理解演習</t>
    <rPh sb="0" eb="3">
      <t>イブンカ</t>
    </rPh>
    <rPh sb="3" eb="5">
      <t>リカイ</t>
    </rPh>
    <rPh sb="5" eb="7">
      <t>エンシュウ</t>
    </rPh>
    <phoneticPr fontId="2"/>
  </si>
  <si>
    <t>波多野　吉徳</t>
    <phoneticPr fontId="2"/>
  </si>
  <si>
    <t>箕面：外国語学部／６３２講義室</t>
    <rPh sb="0" eb="2">
      <t>ミノオ</t>
    </rPh>
    <rPh sb="3" eb="6">
      <t>ガイコクゴ</t>
    </rPh>
    <rPh sb="6" eb="8">
      <t>ガクブ</t>
    </rPh>
    <rPh sb="12" eb="15">
      <t>コウギシツ</t>
    </rPh>
    <phoneticPr fontId="3"/>
  </si>
  <si>
    <t>Approaches to Understanding Cultures</t>
  </si>
  <si>
    <t>Tomoko ARIKAWA</t>
  </si>
  <si>
    <t>TSUTSUI Sayo</t>
    <phoneticPr fontId="2"/>
  </si>
  <si>
    <t>Minoh Campus：School of Foreign Studies/632 Classroom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</si>
</sst>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14"/>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Ｐゴシック"/>
      <family val="3"/>
      <charset val="128"/>
    </font>
    <font>
      <b/>
      <sz val="18"/>
      <name val="Arial Rounded MT Bold"/>
      <family val="2"/>
    </font>
    <font>
      <strike/>
      <sz val="9"/>
      <name val="ＭＳ Ｐゴシック"/>
      <family val="3"/>
      <charset val="128"/>
    </font>
    <font>
      <sz val="16"/>
      <name val="ＭＳ Ｐゴシック"/>
      <family val="3"/>
      <charset val="128"/>
    </font>
    <font>
      <b/>
      <sz val="16"/>
      <name val="ＭＳ Ｐゴシック"/>
      <family val="3"/>
      <charset val="128"/>
    </font>
    <font>
      <b/>
      <sz val="11"/>
      <name val="ＭＳ Ｐゴシック"/>
      <family val="3"/>
      <charset val="128"/>
    </font>
    <font>
      <u/>
      <sz val="11"/>
      <color indexed="12"/>
      <name val="ＭＳ Ｐゴシック"/>
      <family val="3"/>
      <charset val="128"/>
    </font>
    <font>
      <sz val="9"/>
      <color rgb="FFFF0000"/>
      <name val="ＭＳ Ｐゴシック"/>
      <family val="3"/>
      <charset val="128"/>
    </font>
    <font>
      <b/>
      <sz val="9"/>
      <name val="ＭＳ Ｐゴシック"/>
      <family val="3"/>
      <charset val="128"/>
    </font>
    <font>
      <sz val="9"/>
      <color theme="1"/>
      <name val="ＭＳ Ｐゴシック"/>
      <family val="3"/>
      <charset val="128"/>
    </font>
    <font>
      <sz val="9"/>
      <color rgb="FF0070C0"/>
      <name val="ＭＳ Ｐゴシック"/>
      <family val="3"/>
      <charset val="128"/>
    </font>
    <font>
      <sz val="9"/>
      <color rgb="FF00B050"/>
      <name val="ＭＳ Ｐゴシック"/>
      <family val="3"/>
      <charset val="128"/>
    </font>
    <font>
      <b/>
      <sz val="9"/>
      <color rgb="FF00B050"/>
      <name val="ＭＳ Ｐゴシック"/>
      <family val="3"/>
      <charset val="128"/>
    </font>
    <font>
      <sz val="18"/>
      <name val="ＭＳ Ｐゴシック"/>
      <family val="3"/>
      <charset val="128"/>
    </font>
    <font>
      <sz val="12"/>
      <name val="ＭＳ Ｐゴシック"/>
      <family val="3"/>
      <charset val="128"/>
    </font>
    <font>
      <b/>
      <sz val="12"/>
      <name val="ＭＳ Ｐゴシック"/>
      <family val="3"/>
      <charset val="128"/>
    </font>
    <font>
      <b/>
      <sz val="9"/>
      <color rgb="FFFF0000"/>
      <name val="ＭＳ Ｐゴシック"/>
      <family val="3"/>
      <charset val="128"/>
    </font>
    <font>
      <b/>
      <sz val="9"/>
      <color theme="1"/>
      <name val="ＭＳ Ｐゴシック"/>
      <family val="3"/>
      <charset val="128"/>
    </font>
    <font>
      <sz val="9"/>
      <color theme="0" tint="-4.9989318521683403E-2"/>
      <name val="ＭＳ Ｐゴシック"/>
      <family val="3"/>
      <charset val="128"/>
    </font>
    <font>
      <sz val="9"/>
      <color theme="0"/>
      <name val="ＭＳ Ｐゴシック"/>
      <family val="3"/>
      <charset val="128"/>
    </font>
    <font>
      <sz val="9"/>
      <color theme="0" tint="-0.34998626667073579"/>
      <name val="ＭＳ Ｐゴシック"/>
      <family val="3"/>
      <charset val="128"/>
    </font>
  </fonts>
  <fills count="26">
    <fill>
      <patternFill patternType="none"/>
    </fill>
    <fill>
      <patternFill patternType="gray125"/>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rgb="FF70AD47"/>
        <bgColor rgb="FF000000"/>
      </patternFill>
    </fill>
    <fill>
      <patternFill patternType="solid">
        <fgColor theme="0" tint="-0.14999847407452621"/>
        <bgColor indexed="64"/>
      </patternFill>
    </fill>
    <fill>
      <patternFill patternType="solid">
        <fgColor theme="6" tint="0.39997558519241921"/>
        <bgColor indexed="64"/>
      </patternFill>
    </fill>
    <fill>
      <patternFill patternType="solid">
        <fgColor theme="7" tint="0.59999389629810485"/>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bottom/>
      <diagonal/>
    </border>
    <border>
      <left style="medium">
        <color auto="1"/>
      </left>
      <right style="thin">
        <color auto="1"/>
      </right>
      <top/>
      <bottom style="thin">
        <color auto="1"/>
      </bottom>
      <diagonal/>
    </border>
    <border>
      <left style="thin">
        <color auto="1"/>
      </left>
      <right/>
      <top/>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bottom style="medium">
        <color indexed="64"/>
      </bottom>
      <diagonal/>
    </border>
    <border>
      <left/>
      <right style="thin">
        <color auto="1"/>
      </right>
      <top style="medium">
        <color auto="1"/>
      </top>
      <bottom style="medium">
        <color auto="1"/>
      </bottom>
      <diagonal/>
    </border>
    <border>
      <left/>
      <right/>
      <top style="medium">
        <color auto="1"/>
      </top>
      <bottom/>
      <diagonal/>
    </border>
    <border>
      <left style="thin">
        <color auto="1"/>
      </left>
      <right/>
      <top style="medium">
        <color auto="1"/>
      </top>
      <bottom/>
      <diagonal/>
    </border>
    <border>
      <left style="medium">
        <color auto="1"/>
      </left>
      <right style="medium">
        <color auto="1"/>
      </right>
      <top/>
      <bottom style="thin">
        <color auto="1"/>
      </bottom>
      <diagonal/>
    </border>
    <border>
      <left/>
      <right style="thin">
        <color auto="1"/>
      </right>
      <top/>
      <bottom style="thin">
        <color auto="1"/>
      </bottom>
      <diagonal/>
    </border>
    <border>
      <left/>
      <right style="thin">
        <color indexed="64"/>
      </right>
      <top/>
      <bottom/>
      <diagonal/>
    </border>
    <border>
      <left/>
      <right style="thin">
        <color auto="1"/>
      </right>
      <top style="medium">
        <color auto="1"/>
      </top>
      <bottom/>
      <diagonal/>
    </border>
    <border>
      <left style="medium">
        <color indexed="64"/>
      </left>
      <right style="medium">
        <color indexed="64"/>
      </right>
      <top style="medium">
        <color indexed="64"/>
      </top>
      <bottom style="thin">
        <color auto="1"/>
      </bottom>
      <diagonal/>
    </border>
    <border>
      <left style="thin">
        <color theme="0"/>
      </left>
      <right style="thin">
        <color theme="0"/>
      </right>
      <top style="thin">
        <color theme="0"/>
      </top>
      <bottom style="thin">
        <color theme="0"/>
      </bottom>
      <diagonal/>
    </border>
    <border>
      <left/>
      <right/>
      <top/>
      <bottom style="thin">
        <color indexed="64"/>
      </bottom>
      <diagonal/>
    </border>
    <border>
      <left style="medium">
        <color auto="1"/>
      </left>
      <right style="thin">
        <color auto="1"/>
      </right>
      <top style="thin">
        <color indexed="64"/>
      </top>
      <bottom/>
      <diagonal/>
    </border>
    <border>
      <left/>
      <right/>
      <top style="thin">
        <color auto="1"/>
      </top>
      <bottom/>
      <diagonal/>
    </border>
    <border>
      <left style="medium">
        <color auto="1"/>
      </left>
      <right style="thin">
        <color auto="1"/>
      </right>
      <top style="medium">
        <color indexed="64"/>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medium">
        <color auto="1"/>
      </left>
      <right style="thin">
        <color auto="1"/>
      </right>
      <top style="thin">
        <color indexed="64"/>
      </top>
      <bottom style="thin">
        <color auto="1"/>
      </bottom>
      <diagonal/>
    </border>
    <border>
      <left/>
      <right/>
      <top/>
      <bottom style="medium">
        <color indexed="49"/>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49"/>
      </bottom>
      <diagonal/>
    </border>
    <border>
      <left style="medium">
        <color auto="1"/>
      </left>
      <right style="medium">
        <color indexed="64"/>
      </right>
      <top style="thin">
        <color auto="1"/>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auto="1"/>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ck">
        <color auto="1"/>
      </right>
      <top style="medium">
        <color indexed="64"/>
      </top>
      <bottom style="medium">
        <color auto="1"/>
      </bottom>
      <diagonal/>
    </border>
    <border>
      <left style="thick">
        <color auto="1"/>
      </left>
      <right/>
      <top style="medium">
        <color indexed="64"/>
      </top>
      <bottom style="medium">
        <color auto="1"/>
      </bottom>
      <diagonal/>
    </border>
    <border>
      <left style="medium">
        <color indexed="64"/>
      </left>
      <right style="thin">
        <color auto="1"/>
      </right>
      <top style="medium">
        <color auto="1"/>
      </top>
      <bottom style="medium">
        <color auto="1"/>
      </bottom>
      <diagonal/>
    </border>
    <border>
      <left style="thin">
        <color auto="1"/>
      </left>
      <right/>
      <top style="medium">
        <color auto="1"/>
      </top>
      <bottom style="medium">
        <color indexed="64"/>
      </bottom>
      <diagonal/>
    </border>
    <border>
      <left style="thin">
        <color auto="1"/>
      </left>
      <right style="medium">
        <color indexed="64"/>
      </right>
      <top style="medium">
        <color indexed="64"/>
      </top>
      <bottom style="medium">
        <color auto="1"/>
      </bottom>
      <diagonal/>
    </border>
    <border>
      <left style="medium">
        <color indexed="64"/>
      </left>
      <right style="thick">
        <color auto="1"/>
      </right>
      <top style="medium">
        <color auto="1"/>
      </top>
      <bottom/>
      <diagonal/>
    </border>
    <border>
      <left style="medium">
        <color indexed="64"/>
      </left>
      <right style="thick">
        <color auto="1"/>
      </right>
      <top/>
      <bottom/>
      <diagonal/>
    </border>
    <border>
      <left style="medium">
        <color indexed="64"/>
      </left>
      <right style="medium">
        <color indexed="64"/>
      </right>
      <top style="thin">
        <color auto="1"/>
      </top>
      <bottom style="thin">
        <color indexed="64"/>
      </bottom>
      <diagonal/>
    </border>
    <border>
      <left style="medium">
        <color indexed="64"/>
      </left>
      <right style="thick">
        <color auto="1"/>
      </right>
      <top/>
      <bottom style="medium">
        <color auto="1"/>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ck">
        <color auto="1"/>
      </left>
      <right style="thick">
        <color auto="1"/>
      </right>
      <top style="medium">
        <color auto="1"/>
      </top>
      <bottom/>
      <diagonal/>
    </border>
    <border>
      <left/>
      <right style="thin">
        <color auto="1"/>
      </right>
      <top style="medium">
        <color auto="1"/>
      </top>
      <bottom style="thin">
        <color auto="1"/>
      </bottom>
      <diagonal/>
    </border>
    <border>
      <left style="thick">
        <color auto="1"/>
      </left>
      <right style="thick">
        <color auto="1"/>
      </right>
      <top/>
      <bottom/>
      <diagonal/>
    </border>
    <border>
      <left style="thick">
        <color auto="1"/>
      </left>
      <right style="thin">
        <color auto="1"/>
      </right>
      <top style="thin">
        <color auto="1"/>
      </top>
      <bottom/>
      <diagonal/>
    </border>
    <border>
      <left style="thick">
        <color auto="1"/>
      </left>
      <right style="thick">
        <color auto="1"/>
      </right>
      <top/>
      <bottom style="medium">
        <color auto="1"/>
      </bottom>
      <diagonal/>
    </border>
    <border>
      <left style="thick">
        <color auto="1"/>
      </left>
      <right style="thin">
        <color auto="1"/>
      </right>
      <top/>
      <bottom style="medium">
        <color auto="1"/>
      </bottom>
      <diagonal/>
    </border>
    <border>
      <left style="thick">
        <color auto="1"/>
      </left>
      <right style="thin">
        <color auto="1"/>
      </right>
      <top/>
      <bottom/>
      <diagonal/>
    </border>
    <border>
      <left style="thin">
        <color indexed="64"/>
      </left>
      <right/>
      <top style="thin">
        <color indexed="64"/>
      </top>
      <bottom style="thin">
        <color indexed="64"/>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style="medium">
        <color indexed="64"/>
      </right>
      <top/>
      <bottom style="medium">
        <color indexed="64"/>
      </bottom>
      <diagonal/>
    </border>
  </borders>
  <cellStyleXfs count="376">
    <xf numFmtId="0" fontId="0" fillId="0" borderId="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 fillId="0" borderId="0"/>
    <xf numFmtId="0" fontId="27" fillId="0" borderId="0" applyNumberFormat="0" applyFill="0" applyBorder="0" applyAlignment="0" applyProtection="0">
      <alignment vertical="top"/>
      <protection locked="0"/>
    </xf>
    <xf numFmtId="0" fontId="15" fillId="0" borderId="55" applyNumberFormat="0" applyFill="0" applyAlignment="0" applyProtection="0">
      <alignment vertical="center"/>
    </xf>
    <xf numFmtId="0" fontId="16" fillId="0" borderId="52" applyNumberFormat="0" applyFill="0" applyAlignment="0" applyProtection="0">
      <alignment vertical="center"/>
    </xf>
    <xf numFmtId="0" fontId="15" fillId="0" borderId="51" applyNumberFormat="0" applyFill="0" applyAlignment="0" applyProtection="0">
      <alignment vertical="center"/>
    </xf>
    <xf numFmtId="0" fontId="15" fillId="0" borderId="51" applyNumberFormat="0" applyFill="0" applyAlignment="0" applyProtection="0">
      <alignment vertical="center"/>
    </xf>
    <xf numFmtId="0" fontId="15" fillId="0" borderId="51" applyNumberFormat="0" applyFill="0" applyAlignment="0" applyProtection="0">
      <alignment vertical="center"/>
    </xf>
    <xf numFmtId="0" fontId="15" fillId="0" borderId="51" applyNumberFormat="0" applyFill="0" applyAlignment="0" applyProtection="0">
      <alignment vertical="center"/>
    </xf>
    <xf numFmtId="0" fontId="15" fillId="0" borderId="51" applyNumberFormat="0" applyFill="0" applyAlignment="0" applyProtection="0">
      <alignment vertical="center"/>
    </xf>
    <xf numFmtId="0" fontId="15" fillId="0" borderId="51" applyNumberFormat="0" applyFill="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0" fontId="11" fillId="2" borderId="50" applyNumberFormat="0" applyAlignment="0" applyProtection="0">
      <alignment vertical="center"/>
    </xf>
    <xf numFmtId="0" fontId="11" fillId="2" borderId="50" applyNumberFormat="0" applyAlignment="0" applyProtection="0">
      <alignment vertical="center"/>
    </xf>
    <xf numFmtId="0" fontId="11" fillId="2" borderId="50" applyNumberFormat="0" applyAlignment="0" applyProtection="0">
      <alignment vertical="center"/>
    </xf>
    <xf numFmtId="0" fontId="11" fillId="2" borderId="50" applyNumberFormat="0" applyAlignment="0" applyProtection="0">
      <alignment vertical="center"/>
    </xf>
    <xf numFmtId="0" fontId="11" fillId="2" borderId="50" applyNumberFormat="0" applyAlignment="0" applyProtection="0">
      <alignment vertical="center"/>
    </xf>
    <xf numFmtId="0" fontId="11" fillId="2" borderId="50" applyNumberFormat="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0" fontId="1" fillId="6" borderId="49" applyNumberFormat="0" applyFont="0" applyAlignment="0" applyProtection="0">
      <alignment vertical="center"/>
    </xf>
    <xf numFmtId="0" fontId="1" fillId="6" borderId="49" applyNumberFormat="0" applyFont="0" applyAlignment="0" applyProtection="0">
      <alignment vertical="center"/>
    </xf>
    <xf numFmtId="0" fontId="1" fillId="6" borderId="49" applyNumberFormat="0" applyFont="0" applyAlignment="0" applyProtection="0">
      <alignment vertical="center"/>
    </xf>
    <xf numFmtId="0" fontId="1" fillId="6" borderId="49" applyNumberFormat="0" applyFont="0" applyAlignment="0" applyProtection="0">
      <alignment vertical="center"/>
    </xf>
    <xf numFmtId="0" fontId="1" fillId="6" borderId="49" applyNumberFormat="0" applyFont="0" applyAlignment="0" applyProtection="0">
      <alignment vertical="center"/>
    </xf>
    <xf numFmtId="0" fontId="1" fillId="6" borderId="49" applyNumberFormat="0" applyFont="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0" fontId="1" fillId="6" borderId="45" applyNumberFormat="0" applyFont="0" applyAlignment="0" applyProtection="0">
      <alignment vertical="center"/>
    </xf>
    <xf numFmtId="0" fontId="1" fillId="6" borderId="45" applyNumberFormat="0" applyFont="0" applyAlignment="0" applyProtection="0">
      <alignment vertical="center"/>
    </xf>
    <xf numFmtId="0" fontId="1" fillId="6" borderId="45" applyNumberFormat="0" applyFont="0" applyAlignment="0" applyProtection="0">
      <alignment vertical="center"/>
    </xf>
    <xf numFmtId="0" fontId="1" fillId="6" borderId="45" applyNumberFormat="0" applyFont="0" applyAlignment="0" applyProtection="0">
      <alignment vertical="center"/>
    </xf>
    <xf numFmtId="0" fontId="1" fillId="6" borderId="45" applyNumberFormat="0" applyFont="0" applyAlignment="0" applyProtection="0">
      <alignment vertical="center"/>
    </xf>
    <xf numFmtId="0" fontId="1" fillId="6" borderId="45" applyNumberFormat="0" applyFont="0" applyAlignment="0" applyProtection="0">
      <alignment vertical="center"/>
    </xf>
    <xf numFmtId="0" fontId="11" fillId="2" borderId="46" applyNumberFormat="0" applyAlignment="0" applyProtection="0">
      <alignment vertical="center"/>
    </xf>
    <xf numFmtId="0" fontId="11" fillId="2" borderId="46" applyNumberFormat="0" applyAlignment="0" applyProtection="0">
      <alignment vertical="center"/>
    </xf>
    <xf numFmtId="0" fontId="11" fillId="2" borderId="46" applyNumberFormat="0" applyAlignment="0" applyProtection="0">
      <alignment vertical="center"/>
    </xf>
    <xf numFmtId="0" fontId="11" fillId="2" borderId="46" applyNumberFormat="0" applyAlignment="0" applyProtection="0">
      <alignment vertical="center"/>
    </xf>
    <xf numFmtId="0" fontId="11" fillId="2" borderId="46" applyNumberFormat="0" applyAlignment="0" applyProtection="0">
      <alignment vertical="center"/>
    </xf>
    <xf numFmtId="0" fontId="11" fillId="2" borderId="46" applyNumberFormat="0" applyAlignment="0" applyProtection="0">
      <alignment vertical="center"/>
    </xf>
    <xf numFmtId="0" fontId="16" fillId="0" borderId="47" applyNumberFormat="0" applyFill="0" applyAlignment="0" applyProtection="0">
      <alignment vertical="center"/>
    </xf>
    <xf numFmtId="0" fontId="16" fillId="0" borderId="47" applyNumberFormat="0" applyFill="0" applyAlignment="0" applyProtection="0">
      <alignment vertical="center"/>
    </xf>
    <xf numFmtId="0" fontId="16" fillId="0" borderId="47" applyNumberFormat="0" applyFill="0" applyAlignment="0" applyProtection="0">
      <alignment vertical="center"/>
    </xf>
    <xf numFmtId="0" fontId="16" fillId="0" borderId="47" applyNumberFormat="0" applyFill="0" applyAlignment="0" applyProtection="0">
      <alignment vertical="center"/>
    </xf>
    <xf numFmtId="0" fontId="16" fillId="0" borderId="47" applyNumberFormat="0" applyFill="0" applyAlignment="0" applyProtection="0">
      <alignment vertical="center"/>
    </xf>
    <xf numFmtId="0" fontId="16" fillId="0" borderId="47" applyNumberFormat="0" applyFill="0" applyAlignment="0" applyProtection="0">
      <alignment vertical="center"/>
    </xf>
    <xf numFmtId="0" fontId="17" fillId="2" borderId="48" applyNumberFormat="0" applyAlignment="0" applyProtection="0">
      <alignment vertical="center"/>
    </xf>
    <xf numFmtId="0" fontId="17" fillId="2" borderId="48" applyNumberFormat="0" applyAlignment="0" applyProtection="0">
      <alignment vertical="center"/>
    </xf>
    <xf numFmtId="0" fontId="17" fillId="2" borderId="48" applyNumberFormat="0" applyAlignment="0" applyProtection="0">
      <alignment vertical="center"/>
    </xf>
    <xf numFmtId="0" fontId="17" fillId="2" borderId="48" applyNumberFormat="0" applyAlignment="0" applyProtection="0">
      <alignment vertical="center"/>
    </xf>
    <xf numFmtId="0" fontId="17" fillId="2" borderId="48" applyNumberFormat="0" applyAlignment="0" applyProtection="0">
      <alignment vertical="center"/>
    </xf>
    <xf numFmtId="0" fontId="17" fillId="2" borderId="48" applyNumberFormat="0" applyAlignment="0" applyProtection="0">
      <alignment vertical="center"/>
    </xf>
    <xf numFmtId="0" fontId="15" fillId="0" borderId="55" applyNumberFormat="0" applyFill="0" applyAlignment="0" applyProtection="0">
      <alignment vertical="center"/>
    </xf>
    <xf numFmtId="0" fontId="15" fillId="0" borderId="55" applyNumberFormat="0" applyFill="0" applyAlignment="0" applyProtection="0">
      <alignment vertical="center"/>
    </xf>
    <xf numFmtId="0" fontId="19" fillId="4" borderId="46" applyNumberFormat="0" applyAlignment="0" applyProtection="0">
      <alignment vertical="center"/>
    </xf>
    <xf numFmtId="0" fontId="19" fillId="4" borderId="46" applyNumberFormat="0" applyAlignment="0" applyProtection="0">
      <alignment vertical="center"/>
    </xf>
    <xf numFmtId="0" fontId="19" fillId="4" borderId="46" applyNumberFormat="0" applyAlignment="0" applyProtection="0">
      <alignment vertical="center"/>
    </xf>
    <xf numFmtId="0" fontId="19" fillId="4" borderId="46" applyNumberFormat="0" applyAlignment="0" applyProtection="0">
      <alignment vertical="center"/>
    </xf>
    <xf numFmtId="0" fontId="19" fillId="4" borderId="46" applyNumberFormat="0" applyAlignment="0" applyProtection="0">
      <alignment vertical="center"/>
    </xf>
    <xf numFmtId="0" fontId="19" fillId="4" borderId="46" applyNumberFormat="0" applyAlignment="0" applyProtection="0">
      <alignment vertical="center"/>
    </xf>
    <xf numFmtId="0" fontId="15" fillId="0" borderId="55" applyNumberFormat="0" applyFill="0" applyAlignment="0" applyProtection="0">
      <alignment vertical="center"/>
    </xf>
    <xf numFmtId="0" fontId="15" fillId="0" borderId="55" applyNumberFormat="0" applyFill="0" applyAlignment="0" applyProtection="0">
      <alignment vertical="center"/>
    </xf>
    <xf numFmtId="0" fontId="15" fillId="0" borderId="55" applyNumberFormat="0" applyFill="0" applyAlignment="0" applyProtection="0">
      <alignment vertical="center"/>
    </xf>
    <xf numFmtId="0" fontId="16" fillId="0" borderId="52" applyNumberFormat="0" applyFill="0" applyAlignment="0" applyProtection="0">
      <alignment vertical="center"/>
    </xf>
    <xf numFmtId="0" fontId="16" fillId="0" borderId="52" applyNumberFormat="0" applyFill="0" applyAlignment="0" applyProtection="0">
      <alignment vertical="center"/>
    </xf>
    <xf numFmtId="0" fontId="16" fillId="0" borderId="52" applyNumberFormat="0" applyFill="0" applyAlignment="0" applyProtection="0">
      <alignment vertical="center"/>
    </xf>
    <xf numFmtId="0" fontId="16" fillId="0" borderId="52" applyNumberFormat="0" applyFill="0" applyAlignment="0" applyProtection="0">
      <alignment vertical="center"/>
    </xf>
    <xf numFmtId="0" fontId="16" fillId="0" borderId="52" applyNumberFormat="0" applyFill="0" applyAlignment="0" applyProtection="0">
      <alignment vertical="center"/>
    </xf>
    <xf numFmtId="0" fontId="17" fillId="2" borderId="53" applyNumberFormat="0" applyAlignment="0" applyProtection="0">
      <alignment vertical="center"/>
    </xf>
    <xf numFmtId="0" fontId="17" fillId="2" borderId="53" applyNumberFormat="0" applyAlignment="0" applyProtection="0">
      <alignment vertical="center"/>
    </xf>
    <xf numFmtId="0" fontId="17" fillId="2" borderId="53" applyNumberFormat="0" applyAlignment="0" applyProtection="0">
      <alignment vertical="center"/>
    </xf>
    <xf numFmtId="0" fontId="17" fillId="2" borderId="53" applyNumberFormat="0" applyAlignment="0" applyProtection="0">
      <alignment vertical="center"/>
    </xf>
    <xf numFmtId="0" fontId="17" fillId="2" borderId="53" applyNumberFormat="0" applyAlignment="0" applyProtection="0">
      <alignment vertical="center"/>
    </xf>
    <xf numFmtId="0" fontId="17" fillId="2" borderId="53" applyNumberFormat="0" applyAlignment="0" applyProtection="0">
      <alignment vertical="center"/>
    </xf>
    <xf numFmtId="0" fontId="19" fillId="4" borderId="50" applyNumberFormat="0" applyAlignment="0" applyProtection="0">
      <alignment vertical="center"/>
    </xf>
    <xf numFmtId="0" fontId="19" fillId="4" borderId="50" applyNumberFormat="0" applyAlignment="0" applyProtection="0">
      <alignment vertical="center"/>
    </xf>
    <xf numFmtId="0" fontId="19" fillId="4" borderId="50" applyNumberFormat="0" applyAlignment="0" applyProtection="0">
      <alignment vertical="center"/>
    </xf>
    <xf numFmtId="0" fontId="19" fillId="4" borderId="50" applyNumberFormat="0" applyAlignment="0" applyProtection="0">
      <alignment vertical="center"/>
    </xf>
    <xf numFmtId="0" fontId="19" fillId="4" borderId="50" applyNumberFormat="0" applyAlignment="0" applyProtection="0">
      <alignment vertical="center"/>
    </xf>
    <xf numFmtId="0" fontId="19" fillId="4" borderId="50" applyNumberFormat="0" applyAlignment="0" applyProtection="0">
      <alignment vertical="center"/>
    </xf>
    <xf numFmtId="0" fontId="1" fillId="6" borderId="49" applyNumberFormat="0" applyFont="0" applyAlignment="0" applyProtection="0">
      <alignment vertical="center"/>
    </xf>
    <xf numFmtId="0" fontId="1" fillId="6" borderId="49" applyNumberFormat="0" applyFont="0" applyAlignment="0" applyProtection="0">
      <alignment vertical="center"/>
    </xf>
    <xf numFmtId="0" fontId="1" fillId="6" borderId="49" applyNumberFormat="0" applyFont="0" applyAlignment="0" applyProtection="0">
      <alignment vertical="center"/>
    </xf>
    <xf numFmtId="0" fontId="1" fillId="6" borderId="49" applyNumberFormat="0" applyFont="0" applyAlignment="0" applyProtection="0">
      <alignment vertical="center"/>
    </xf>
    <xf numFmtId="0" fontId="1" fillId="6" borderId="49" applyNumberFormat="0" applyFont="0" applyAlignment="0" applyProtection="0">
      <alignment vertical="center"/>
    </xf>
    <xf numFmtId="0" fontId="1" fillId="6" borderId="49" applyNumberFormat="0" applyFont="0" applyAlignment="0" applyProtection="0">
      <alignment vertical="center"/>
    </xf>
    <xf numFmtId="0" fontId="11" fillId="2" borderId="50" applyNumberFormat="0" applyAlignment="0" applyProtection="0">
      <alignment vertical="center"/>
    </xf>
    <xf numFmtId="0" fontId="11" fillId="2" borderId="50" applyNumberFormat="0" applyAlignment="0" applyProtection="0">
      <alignment vertical="center"/>
    </xf>
    <xf numFmtId="0" fontId="11" fillId="2" borderId="50" applyNumberFormat="0" applyAlignment="0" applyProtection="0">
      <alignment vertical="center"/>
    </xf>
    <xf numFmtId="0" fontId="11" fillId="2" borderId="50" applyNumberFormat="0" applyAlignment="0" applyProtection="0">
      <alignment vertical="center"/>
    </xf>
    <xf numFmtId="0" fontId="11" fillId="2" borderId="50" applyNumberFormat="0" applyAlignment="0" applyProtection="0">
      <alignment vertical="center"/>
    </xf>
    <xf numFmtId="0" fontId="11" fillId="2" borderId="50" applyNumberFormat="0" applyAlignment="0" applyProtection="0">
      <alignment vertical="center"/>
    </xf>
    <xf numFmtId="0" fontId="16" fillId="0" borderId="52" applyNumberFormat="0" applyFill="0" applyAlignment="0" applyProtection="0">
      <alignment vertical="center"/>
    </xf>
    <xf numFmtId="0" fontId="16" fillId="0" borderId="52" applyNumberFormat="0" applyFill="0" applyAlignment="0" applyProtection="0">
      <alignment vertical="center"/>
    </xf>
    <xf numFmtId="0" fontId="16" fillId="0" borderId="52" applyNumberFormat="0" applyFill="0" applyAlignment="0" applyProtection="0">
      <alignment vertical="center"/>
    </xf>
    <xf numFmtId="0" fontId="16" fillId="0" borderId="52" applyNumberFormat="0" applyFill="0" applyAlignment="0" applyProtection="0">
      <alignment vertical="center"/>
    </xf>
    <xf numFmtId="0" fontId="16" fillId="0" borderId="52" applyNumberFormat="0" applyFill="0" applyAlignment="0" applyProtection="0">
      <alignment vertical="center"/>
    </xf>
    <xf numFmtId="0" fontId="16" fillId="0" borderId="52" applyNumberFormat="0" applyFill="0" applyAlignment="0" applyProtection="0">
      <alignment vertical="center"/>
    </xf>
    <xf numFmtId="0" fontId="17" fillId="2" borderId="53" applyNumberFormat="0" applyAlignment="0" applyProtection="0">
      <alignment vertical="center"/>
    </xf>
    <xf numFmtId="0" fontId="17" fillId="2" borderId="53" applyNumberFormat="0" applyAlignment="0" applyProtection="0">
      <alignment vertical="center"/>
    </xf>
    <xf numFmtId="0" fontId="17" fillId="2" borderId="53" applyNumberFormat="0" applyAlignment="0" applyProtection="0">
      <alignment vertical="center"/>
    </xf>
    <xf numFmtId="0" fontId="17" fillId="2" borderId="53" applyNumberFormat="0" applyAlignment="0" applyProtection="0">
      <alignment vertical="center"/>
    </xf>
    <xf numFmtId="0" fontId="17" fillId="2" borderId="53" applyNumberFormat="0" applyAlignment="0" applyProtection="0">
      <alignment vertical="center"/>
    </xf>
    <xf numFmtId="0" fontId="17" fillId="2" borderId="53" applyNumberFormat="0" applyAlignment="0" applyProtection="0">
      <alignment vertical="center"/>
    </xf>
    <xf numFmtId="0" fontId="19" fillId="4" borderId="50" applyNumberFormat="0" applyAlignment="0" applyProtection="0">
      <alignment vertical="center"/>
    </xf>
    <xf numFmtId="0" fontId="19" fillId="4" borderId="50" applyNumberFormat="0" applyAlignment="0" applyProtection="0">
      <alignment vertical="center"/>
    </xf>
    <xf numFmtId="0" fontId="19" fillId="4" borderId="50" applyNumberFormat="0" applyAlignment="0" applyProtection="0">
      <alignment vertical="center"/>
    </xf>
    <xf numFmtId="0" fontId="19" fillId="4" borderId="50" applyNumberFormat="0" applyAlignment="0" applyProtection="0">
      <alignment vertical="center"/>
    </xf>
    <xf numFmtId="0" fontId="19" fillId="4" borderId="50" applyNumberFormat="0" applyAlignment="0" applyProtection="0">
      <alignment vertical="center"/>
    </xf>
    <xf numFmtId="0" fontId="19" fillId="4" borderId="50" applyNumberFormat="0" applyAlignment="0" applyProtection="0">
      <alignment vertical="center"/>
    </xf>
    <xf numFmtId="0" fontId="15" fillId="0" borderId="55" applyNumberFormat="0" applyFill="0" applyAlignment="0" applyProtection="0">
      <alignment vertical="center"/>
    </xf>
    <xf numFmtId="0" fontId="15" fillId="0" borderId="55" applyNumberFormat="0" applyFill="0" applyAlignment="0" applyProtection="0">
      <alignment vertical="center"/>
    </xf>
    <xf numFmtId="0" fontId="15" fillId="0" borderId="55" applyNumberFormat="0" applyFill="0" applyAlignment="0" applyProtection="0">
      <alignment vertical="center"/>
    </xf>
    <xf numFmtId="0" fontId="15" fillId="0" borderId="55" applyNumberFormat="0" applyFill="0" applyAlignment="0" applyProtection="0">
      <alignment vertical="center"/>
    </xf>
    <xf numFmtId="0" fontId="15" fillId="0" borderId="55" applyNumberFormat="0" applyFill="0" applyAlignment="0" applyProtection="0">
      <alignment vertical="center"/>
    </xf>
    <xf numFmtId="0" fontId="15" fillId="0" borderId="55" applyNumberFormat="0" applyFill="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0" fontId="15" fillId="0" borderId="60" applyNumberFormat="0" applyFill="0" applyAlignment="0" applyProtection="0">
      <alignment vertical="center"/>
    </xf>
    <xf numFmtId="38" fontId="1" fillId="0" borderId="0" applyFont="0" applyFill="0" applyBorder="0" applyAlignment="0" applyProtection="0">
      <alignment vertical="center"/>
    </xf>
  </cellStyleXfs>
  <cellXfs count="447">
    <xf numFmtId="0" fontId="0" fillId="0" borderId="0" xfId="0"/>
    <xf numFmtId="0" fontId="0" fillId="0" borderId="0" xfId="0" applyFont="1" applyAlignment="1">
      <alignment wrapText="1"/>
    </xf>
    <xf numFmtId="0" fontId="3" fillId="0" borderId="0" xfId="0" applyFont="1" applyAlignment="1">
      <alignment horizontal="center" vertical="center" wrapText="1"/>
    </xf>
    <xf numFmtId="49" fontId="3" fillId="17" borderId="14" xfId="0" applyNumberFormat="1" applyFont="1" applyFill="1" applyBorder="1" applyAlignment="1">
      <alignment horizontal="center" vertical="center" wrapText="1"/>
    </xf>
    <xf numFmtId="0" fontId="3" fillId="0" borderId="0" xfId="0" applyFont="1" applyFill="1" applyAlignment="1">
      <alignment wrapText="1"/>
    </xf>
    <xf numFmtId="0" fontId="3" fillId="0" borderId="0" xfId="0" applyFont="1" applyFill="1" applyAlignment="1">
      <alignment vertical="top" wrapText="1"/>
    </xf>
    <xf numFmtId="0" fontId="3" fillId="0" borderId="0" xfId="0" applyFont="1" applyAlignment="1">
      <alignment horizontal="center" vertical="center" shrinkToFit="1"/>
    </xf>
    <xf numFmtId="0" fontId="3" fillId="0" borderId="0" xfId="0" applyFont="1" applyAlignment="1">
      <alignment wrapText="1"/>
    </xf>
    <xf numFmtId="0" fontId="3" fillId="0" borderId="0" xfId="0" applyFont="1" applyAlignment="1">
      <alignment shrinkToFit="1"/>
    </xf>
    <xf numFmtId="0" fontId="0" fillId="0" borderId="0" xfId="0" applyFont="1" applyAlignment="1">
      <alignment shrinkToFit="1"/>
    </xf>
    <xf numFmtId="0" fontId="3" fillId="0" borderId="0" xfId="0" applyFont="1" applyAlignment="1">
      <alignment vertical="top" wrapText="1"/>
    </xf>
    <xf numFmtId="0" fontId="0" fillId="0" borderId="0" xfId="0" applyFont="1" applyAlignment="1">
      <alignment horizontal="center" vertical="center" shrinkToFit="1"/>
    </xf>
    <xf numFmtId="0" fontId="22" fillId="0" borderId="0" xfId="0" applyFont="1" applyBorder="1" applyAlignment="1">
      <alignment wrapText="1"/>
    </xf>
    <xf numFmtId="0" fontId="0" fillId="0" borderId="0" xfId="0" applyProtection="1"/>
    <xf numFmtId="0" fontId="0" fillId="18" borderId="40" xfId="0" applyNumberFormat="1" applyFont="1" applyFill="1" applyBorder="1" applyProtection="1"/>
    <xf numFmtId="0" fontId="0" fillId="18" borderId="40" xfId="0" applyNumberFormat="1" applyFill="1" applyBorder="1" applyProtection="1"/>
    <xf numFmtId="0" fontId="0" fillId="18" borderId="40" xfId="0" applyFill="1" applyBorder="1" applyProtection="1"/>
    <xf numFmtId="0" fontId="3" fillId="0" borderId="11" xfId="248" applyFont="1" applyFill="1" applyBorder="1" applyAlignment="1" applyProtection="1">
      <alignment horizontal="left" vertical="center" wrapText="1"/>
    </xf>
    <xf numFmtId="0" fontId="0" fillId="0" borderId="0" xfId="0" quotePrefix="1"/>
    <xf numFmtId="0" fontId="3" fillId="0" borderId="11" xfId="0" applyFont="1" applyBorder="1" applyAlignment="1">
      <alignment horizontal="left" vertical="center" shrinkToFi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29" fillId="0" borderId="34" xfId="0" applyFont="1" applyBorder="1" applyAlignment="1">
      <alignment vertical="center" shrinkToFit="1"/>
    </xf>
    <xf numFmtId="0" fontId="29" fillId="0" borderId="23" xfId="0" applyFont="1" applyBorder="1" applyAlignment="1">
      <alignment vertical="center" shrinkToFit="1"/>
    </xf>
    <xf numFmtId="0" fontId="3" fillId="0" borderId="26" xfId="0" applyFont="1" applyBorder="1" applyAlignment="1">
      <alignment horizontal="left" vertical="center" wrapText="1"/>
    </xf>
    <xf numFmtId="0" fontId="31" fillId="0" borderId="11" xfId="0" applyFont="1" applyBorder="1" applyAlignment="1">
      <alignment horizontal="left" vertical="center" wrapText="1" shrinkToFit="1"/>
    </xf>
    <xf numFmtId="0" fontId="31" fillId="0" borderId="12" xfId="0" applyFont="1" applyBorder="1" applyAlignment="1">
      <alignment vertical="center" shrinkToFit="1"/>
    </xf>
    <xf numFmtId="0" fontId="31" fillId="0" borderId="19" xfId="248" applyFont="1" applyFill="1" applyBorder="1" applyAlignment="1" applyProtection="1">
      <alignment horizontal="left" vertical="center"/>
    </xf>
    <xf numFmtId="0" fontId="3" fillId="0" borderId="16" xfId="0" applyFont="1" applyBorder="1" applyAlignment="1">
      <alignment vertical="center" wrapText="1"/>
    </xf>
    <xf numFmtId="0" fontId="3" fillId="0" borderId="11" xfId="248" applyFont="1" applyFill="1" applyBorder="1" applyAlignment="1" applyProtection="1">
      <alignment horizontal="left" vertical="center"/>
    </xf>
    <xf numFmtId="0" fontId="3" fillId="0" borderId="11" xfId="0" applyFont="1" applyBorder="1" applyAlignment="1">
      <alignment horizontal="justify" vertical="center" wrapText="1"/>
    </xf>
    <xf numFmtId="0" fontId="31" fillId="0" borderId="26" xfId="0" applyFont="1" applyBorder="1" applyAlignment="1">
      <alignment vertical="center" wrapText="1" shrinkToFit="1"/>
    </xf>
    <xf numFmtId="0" fontId="31" fillId="0" borderId="11" xfId="0" applyFont="1" applyBorder="1" applyAlignment="1">
      <alignment vertical="center" shrinkToFit="1"/>
    </xf>
    <xf numFmtId="0" fontId="32" fillId="0" borderId="34" xfId="0" applyFont="1" applyBorder="1" applyAlignment="1">
      <alignment vertical="center" wrapText="1"/>
    </xf>
    <xf numFmtId="0" fontId="3" fillId="0" borderId="59" xfId="0" applyFont="1" applyBorder="1" applyAlignment="1">
      <alignment vertical="center" shrinkToFit="1"/>
    </xf>
    <xf numFmtId="0" fontId="32" fillId="0" borderId="16" xfId="0" applyFont="1" applyBorder="1" applyAlignment="1">
      <alignment horizontal="left" vertical="center" wrapText="1"/>
    </xf>
    <xf numFmtId="0" fontId="29" fillId="0" borderId="34" xfId="0" applyFont="1" applyBorder="1" applyAlignment="1">
      <alignment vertical="center" wrapText="1"/>
    </xf>
    <xf numFmtId="0" fontId="3" fillId="0" borderId="19"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59" xfId="0" applyFont="1" applyBorder="1" applyAlignment="1">
      <alignment vertical="center" wrapText="1"/>
    </xf>
    <xf numFmtId="0" fontId="32" fillId="0" borderId="23" xfId="0" applyFont="1" applyBorder="1" applyAlignment="1">
      <alignment vertical="center" wrapText="1" shrinkToFit="1"/>
    </xf>
    <xf numFmtId="0" fontId="3" fillId="0" borderId="23" xfId="0" applyFont="1" applyBorder="1" applyAlignment="1">
      <alignment vertical="center" wrapText="1"/>
    </xf>
    <xf numFmtId="0" fontId="32" fillId="0" borderId="26" xfId="0" applyFont="1" applyBorder="1" applyAlignment="1">
      <alignment vertical="center" wrapText="1"/>
    </xf>
    <xf numFmtId="0" fontId="0" fillId="0" borderId="0" xfId="0" applyFont="1" applyAlignment="1">
      <alignment wrapText="1"/>
    </xf>
    <xf numFmtId="0" fontId="3" fillId="0" borderId="23" xfId="248" applyFont="1" applyFill="1" applyBorder="1" applyAlignment="1" applyProtection="1">
      <alignment horizontal="left" vertical="center" wrapText="1"/>
    </xf>
    <xf numFmtId="0" fontId="3" fillId="0" borderId="16" xfId="248" applyFont="1" applyFill="1" applyBorder="1" applyAlignment="1" applyProtection="1">
      <alignment horizontal="left" vertical="center"/>
    </xf>
    <xf numFmtId="0" fontId="3" fillId="0" borderId="10" xfId="248" applyFont="1" applyFill="1" applyBorder="1" applyAlignment="1" applyProtection="1">
      <alignment horizontal="left" vertical="center"/>
    </xf>
    <xf numFmtId="0" fontId="3" fillId="0" borderId="10" xfId="0" applyFont="1" applyBorder="1" applyAlignment="1">
      <alignment horizontal="left" vertical="center" wrapText="1"/>
    </xf>
    <xf numFmtId="0" fontId="3" fillId="0" borderId="19" xfId="0" applyFont="1" applyBorder="1" applyAlignment="1">
      <alignment vertical="center" wrapText="1"/>
    </xf>
    <xf numFmtId="0" fontId="3" fillId="0" borderId="58" xfId="0" applyFont="1" applyBorder="1" applyAlignment="1">
      <alignment horizontal="left" vertical="center" wrapText="1"/>
    </xf>
    <xf numFmtId="0" fontId="3" fillId="0" borderId="11" xfId="0" applyFont="1" applyBorder="1" applyAlignment="1">
      <alignment horizontal="left" vertical="center" wrapText="1"/>
    </xf>
    <xf numFmtId="0" fontId="3" fillId="0" borderId="26" xfId="0" applyFont="1" applyBorder="1" applyAlignment="1">
      <alignment vertical="center" wrapText="1" shrinkToFit="1"/>
    </xf>
    <xf numFmtId="0" fontId="3" fillId="0" borderId="11" xfId="0" applyFont="1" applyBorder="1" applyAlignment="1">
      <alignment vertical="center" wrapText="1"/>
    </xf>
    <xf numFmtId="0" fontId="3" fillId="0" borderId="11" xfId="0" applyFont="1" applyBorder="1" applyAlignment="1">
      <alignment vertical="center" shrinkToFit="1"/>
    </xf>
    <xf numFmtId="0" fontId="3" fillId="0" borderId="23" xfId="0" applyFont="1" applyBorder="1" applyAlignment="1">
      <alignment vertical="center" shrinkToFit="1"/>
    </xf>
    <xf numFmtId="0" fontId="3" fillId="0" borderId="12" xfId="0" applyFont="1" applyBorder="1" applyAlignment="1">
      <alignment vertical="center" wrapText="1"/>
    </xf>
    <xf numFmtId="0" fontId="3" fillId="0" borderId="12" xfId="0" applyFont="1" applyBorder="1" applyAlignment="1">
      <alignment vertical="center" shrinkToFit="1"/>
    </xf>
    <xf numFmtId="0" fontId="3" fillId="0" borderId="26" xfId="0" applyFont="1" applyBorder="1" applyAlignment="1">
      <alignment vertical="center" shrinkToFit="1"/>
    </xf>
    <xf numFmtId="0" fontId="31" fillId="0" borderId="23" xfId="0" applyFont="1" applyBorder="1" applyAlignment="1">
      <alignment vertical="center" shrinkToFit="1"/>
    </xf>
    <xf numFmtId="0" fontId="31" fillId="0" borderId="12" xfId="0" applyFont="1" applyBorder="1" applyAlignment="1">
      <alignment vertical="center" wrapText="1"/>
    </xf>
    <xf numFmtId="0" fontId="31" fillId="0" borderId="10" xfId="0" applyFont="1" applyBorder="1" applyAlignment="1">
      <alignment horizontal="left" vertical="center" wrapText="1" shrinkToFit="1"/>
    </xf>
    <xf numFmtId="0" fontId="31" fillId="0" borderId="19" xfId="0" applyFont="1" applyBorder="1" applyAlignment="1">
      <alignment vertical="center" shrinkToFit="1"/>
    </xf>
    <xf numFmtId="0" fontId="31" fillId="0" borderId="10" xfId="0" applyFont="1" applyBorder="1" applyAlignment="1">
      <alignment vertical="center" wrapText="1"/>
    </xf>
    <xf numFmtId="0" fontId="31" fillId="0" borderId="10" xfId="247" applyFont="1" applyBorder="1" applyAlignment="1">
      <alignment vertical="center" shrinkToFit="1"/>
    </xf>
    <xf numFmtId="0" fontId="31" fillId="0" borderId="11" xfId="247" applyFont="1" applyBorder="1" applyAlignment="1">
      <alignment vertical="center" shrinkToFit="1"/>
    </xf>
    <xf numFmtId="0" fontId="31" fillId="0" borderId="10" xfId="0" applyFont="1" applyBorder="1" applyAlignment="1">
      <alignment vertical="center" shrinkToFit="1"/>
    </xf>
    <xf numFmtId="0" fontId="31" fillId="0" borderId="12" xfId="0" applyFont="1" applyBorder="1" applyAlignment="1">
      <alignment horizontal="left" vertical="center" shrinkToFit="1"/>
    </xf>
    <xf numFmtId="0" fontId="30" fillId="0" borderId="16" xfId="248" applyFont="1" applyFill="1" applyBorder="1" applyAlignment="1" applyProtection="1">
      <alignment horizontal="left" vertical="center"/>
    </xf>
    <xf numFmtId="0" fontId="30" fillId="0" borderId="11" xfId="0" applyFont="1" applyBorder="1" applyAlignment="1">
      <alignment horizontal="left" vertical="center"/>
    </xf>
    <xf numFmtId="0" fontId="30" fillId="0" borderId="11" xfId="0" applyFont="1" applyBorder="1" applyAlignment="1">
      <alignment horizontal="left" vertical="center" wrapText="1"/>
    </xf>
    <xf numFmtId="0" fontId="3" fillId="0" borderId="58" xfId="0" applyFont="1" applyBorder="1" applyAlignment="1">
      <alignment horizontal="left" vertical="center"/>
    </xf>
    <xf numFmtId="0" fontId="32" fillId="0" borderId="23" xfId="0" applyFont="1" applyBorder="1" applyAlignment="1">
      <alignment vertical="center" wrapText="1"/>
    </xf>
    <xf numFmtId="0" fontId="32" fillId="0" borderId="11" xfId="0" applyFont="1" applyBorder="1" applyAlignment="1">
      <alignment vertical="center" wrapText="1"/>
    </xf>
    <xf numFmtId="0" fontId="3" fillId="0" borderId="10" xfId="0" applyFont="1" applyBorder="1" applyAlignment="1">
      <alignment vertical="center" wrapText="1"/>
    </xf>
    <xf numFmtId="0" fontId="32" fillId="0" borderId="16" xfId="0" applyFont="1" applyBorder="1" applyAlignment="1">
      <alignment vertical="center" wrapText="1"/>
    </xf>
    <xf numFmtId="0" fontId="32" fillId="0" borderId="38" xfId="0" applyFont="1" applyBorder="1" applyAlignment="1">
      <alignment vertical="center" shrinkToFit="1"/>
    </xf>
    <xf numFmtId="0" fontId="32" fillId="0" borderId="12" xfId="0" applyFont="1" applyBorder="1" applyAlignment="1">
      <alignment vertical="center" wrapText="1"/>
    </xf>
    <xf numFmtId="0" fontId="3" fillId="0" borderId="58" xfId="0" applyFont="1" applyBorder="1" applyAlignment="1">
      <alignment vertical="center" wrapText="1"/>
    </xf>
    <xf numFmtId="0" fontId="3" fillId="0" borderId="58" xfId="0" applyFont="1" applyBorder="1" applyAlignment="1">
      <alignment vertical="center" shrinkToFit="1"/>
    </xf>
    <xf numFmtId="0" fontId="31" fillId="0" borderId="26" xfId="0" applyFont="1" applyBorder="1" applyAlignment="1">
      <alignment vertical="center" shrinkToFit="1"/>
    </xf>
    <xf numFmtId="0" fontId="3" fillId="0" borderId="12" xfId="0" applyFont="1" applyBorder="1" applyAlignment="1">
      <alignment horizontal="left" vertical="center"/>
    </xf>
    <xf numFmtId="0" fontId="3" fillId="0" borderId="19" xfId="0" applyFont="1" applyBorder="1" applyAlignment="1">
      <alignment vertical="center" shrinkToFit="1"/>
    </xf>
    <xf numFmtId="0" fontId="3" fillId="0" borderId="10" xfId="0" applyFont="1" applyBorder="1" applyAlignment="1">
      <alignment vertical="center" shrinkToFit="1"/>
    </xf>
    <xf numFmtId="0" fontId="32" fillId="0" borderId="11" xfId="0" applyFont="1" applyBorder="1" applyAlignment="1">
      <alignment vertical="center" shrinkToFit="1"/>
    </xf>
    <xf numFmtId="0" fontId="32" fillId="0" borderId="16" xfId="0" applyFont="1" applyBorder="1" applyAlignment="1">
      <alignment vertical="center" shrinkToFit="1"/>
    </xf>
    <xf numFmtId="0" fontId="31" fillId="0" borderId="16" xfId="0" applyFont="1" applyBorder="1" applyAlignment="1">
      <alignment horizontal="left" vertical="center" wrapText="1" shrinkToFit="1"/>
    </xf>
    <xf numFmtId="0" fontId="31" fillId="0" borderId="34" xfId="0" applyFont="1" applyBorder="1" applyAlignment="1">
      <alignment vertical="center" shrinkToFit="1"/>
    </xf>
    <xf numFmtId="0" fontId="28" fillId="0" borderId="12" xfId="0" applyFont="1" applyBorder="1" applyAlignment="1">
      <alignment horizontal="left" vertical="center"/>
    </xf>
    <xf numFmtId="0" fontId="30" fillId="0" borderId="12" xfId="0" applyFont="1" applyBorder="1" applyAlignment="1">
      <alignment horizontal="left" vertical="center" wrapText="1"/>
    </xf>
    <xf numFmtId="0" fontId="32" fillId="0" borderId="12" xfId="0" applyFont="1" applyBorder="1" applyAlignment="1">
      <alignment vertical="center" shrinkToFit="1"/>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2" fillId="0" borderId="23"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0" fontId="21" fillId="0" borderId="0" xfId="0" applyFont="1" applyAlignment="1">
      <alignment horizontal="center" vertical="top" wrapText="1"/>
    </xf>
    <xf numFmtId="0" fontId="22" fillId="0" borderId="0" xfId="0" applyFont="1" applyAlignment="1">
      <alignment wrapText="1"/>
    </xf>
    <xf numFmtId="0" fontId="35" fillId="17" borderId="70" xfId="0" applyFont="1" applyFill="1" applyBorder="1" applyAlignment="1">
      <alignment horizontal="center" vertical="center" wrapText="1"/>
    </xf>
    <xf numFmtId="0" fontId="3" fillId="17" borderId="32" xfId="0" applyFont="1" applyFill="1" applyBorder="1" applyAlignment="1">
      <alignment horizontal="center" vertical="center" shrinkToFit="1"/>
    </xf>
    <xf numFmtId="0" fontId="3" fillId="17" borderId="14" xfId="0" applyFont="1" applyFill="1" applyBorder="1" applyAlignment="1">
      <alignment horizontal="center" vertical="center" wrapText="1"/>
    </xf>
    <xf numFmtId="0" fontId="3" fillId="17" borderId="14" xfId="0" applyFont="1" applyFill="1" applyBorder="1" applyAlignment="1">
      <alignment horizontal="center" vertical="center" shrinkToFit="1"/>
    </xf>
    <xf numFmtId="0" fontId="3" fillId="17" borderId="73" xfId="0" applyFont="1" applyFill="1" applyBorder="1" applyAlignment="1">
      <alignment horizontal="center" vertical="center" shrinkToFit="1"/>
    </xf>
    <xf numFmtId="0" fontId="26" fillId="21" borderId="13" xfId="0" applyFont="1" applyFill="1" applyBorder="1" applyAlignment="1">
      <alignment horizontal="center" vertical="center" shrinkToFit="1"/>
    </xf>
    <xf numFmtId="0" fontId="3" fillId="17" borderId="72" xfId="0" applyFont="1" applyFill="1" applyBorder="1" applyAlignment="1">
      <alignment horizontal="center" vertical="center" shrinkToFit="1"/>
    </xf>
    <xf numFmtId="0" fontId="26" fillId="22" borderId="13" xfId="0" applyFont="1" applyFill="1" applyBorder="1" applyAlignment="1">
      <alignment horizontal="center" vertical="center" shrinkToFit="1"/>
    </xf>
    <xf numFmtId="0" fontId="3" fillId="0" borderId="16" xfId="0" applyFont="1" applyBorder="1" applyAlignment="1">
      <alignment horizontal="left" vertical="center" wrapText="1" shrinkToFit="1"/>
    </xf>
    <xf numFmtId="0" fontId="3" fillId="0" borderId="16" xfId="0" applyFont="1" applyBorder="1" applyAlignment="1">
      <alignment vertical="center" shrinkToFit="1"/>
    </xf>
    <xf numFmtId="0" fontId="3" fillId="0" borderId="34" xfId="0" applyFont="1" applyBorder="1" applyAlignment="1">
      <alignment vertical="center" shrinkToFit="1"/>
    </xf>
    <xf numFmtId="0" fontId="31" fillId="0" borderId="11" xfId="0" applyFont="1" applyBorder="1" applyAlignment="1">
      <alignment vertical="center" wrapText="1"/>
    </xf>
    <xf numFmtId="0" fontId="31" fillId="23" borderId="10" xfId="0" applyFont="1" applyFill="1" applyBorder="1" applyAlignment="1">
      <alignment horizontal="left" vertical="center" wrapText="1" shrinkToFit="1"/>
    </xf>
    <xf numFmtId="0" fontId="31" fillId="23" borderId="19" xfId="0" applyFont="1" applyFill="1" applyBorder="1" applyAlignment="1">
      <alignment vertical="center" shrinkToFit="1"/>
    </xf>
    <xf numFmtId="0" fontId="31" fillId="23" borderId="12" xfId="0" applyFont="1" applyFill="1" applyBorder="1" applyAlignment="1">
      <alignment vertical="center" wrapText="1"/>
    </xf>
    <xf numFmtId="0" fontId="31" fillId="23" borderId="26" xfId="0" applyFont="1" applyFill="1" applyBorder="1" applyAlignment="1">
      <alignment vertical="center" shrinkToFit="1"/>
    </xf>
    <xf numFmtId="0" fontId="3" fillId="0" borderId="37" xfId="0" applyFont="1" applyBorder="1" applyAlignment="1">
      <alignment horizontal="center" vertical="center" textRotation="90" shrinkToFit="1"/>
    </xf>
    <xf numFmtId="0" fontId="31" fillId="0" borderId="26" xfId="0" applyFont="1" applyBorder="1" applyAlignment="1">
      <alignment horizontal="left" vertical="center" wrapText="1"/>
    </xf>
    <xf numFmtId="0" fontId="31" fillId="0" borderId="10" xfId="0" applyFont="1" applyBorder="1" applyAlignment="1">
      <alignment horizontal="left" vertical="center" wrapText="1"/>
    </xf>
    <xf numFmtId="0" fontId="28" fillId="0" borderId="42"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vertical="center"/>
    </xf>
    <xf numFmtId="0" fontId="3" fillId="0" borderId="62" xfId="0" applyFont="1" applyBorder="1" applyAlignment="1">
      <alignment horizontal="center" vertical="center" textRotation="90" shrinkToFit="1"/>
    </xf>
    <xf numFmtId="0" fontId="3" fillId="0" borderId="58" xfId="0" applyFont="1" applyBorder="1" applyAlignment="1">
      <alignment horizontal="left" vertical="center" shrinkToFit="1"/>
    </xf>
    <xf numFmtId="0" fontId="3" fillId="0" borderId="59" xfId="0" applyFont="1" applyBorder="1" applyAlignment="1">
      <alignment horizontal="left" vertical="center" shrinkToFit="1"/>
    </xf>
    <xf numFmtId="49" fontId="28" fillId="0" borderId="57" xfId="0" applyNumberFormat="1" applyFont="1" applyBorder="1" applyAlignment="1">
      <alignment vertical="center"/>
    </xf>
    <xf numFmtId="49" fontId="28" fillId="0" borderId="58" xfId="0" applyNumberFormat="1" applyFont="1" applyBorder="1" applyAlignment="1">
      <alignment vertical="center"/>
    </xf>
    <xf numFmtId="0" fontId="3" fillId="0" borderId="0" xfId="0" applyFont="1" applyAlignment="1">
      <alignment vertical="center" wrapText="1"/>
    </xf>
    <xf numFmtId="0" fontId="30" fillId="0" borderId="11" xfId="248" applyFont="1" applyFill="1" applyBorder="1" applyAlignment="1" applyProtection="1">
      <alignment horizontal="left" vertical="center"/>
    </xf>
    <xf numFmtId="0" fontId="38" fillId="0" borderId="23" xfId="0" applyFont="1" applyBorder="1" applyAlignment="1">
      <alignment vertical="center" wrapText="1"/>
    </xf>
    <xf numFmtId="0" fontId="3" fillId="0" borderId="41" xfId="0" applyFont="1" applyBorder="1" applyAlignment="1">
      <alignment vertical="center" wrapText="1"/>
    </xf>
    <xf numFmtId="49" fontId="3" fillId="0" borderId="23" xfId="0" applyNumberFormat="1" applyFont="1" applyBorder="1" applyAlignment="1">
      <alignment vertical="center" wrapText="1"/>
    </xf>
    <xf numFmtId="0" fontId="38" fillId="0" borderId="23" xfId="0" applyFont="1" applyBorder="1" applyAlignment="1">
      <alignment vertical="center" shrinkToFit="1"/>
    </xf>
    <xf numFmtId="0" fontId="29" fillId="0" borderId="19" xfId="0" applyFont="1" applyBorder="1" applyAlignment="1">
      <alignment vertical="center" wrapText="1" shrinkToFit="1"/>
    </xf>
    <xf numFmtId="0" fontId="30" fillId="0" borderId="19" xfId="0" applyFont="1" applyBorder="1" applyAlignment="1">
      <alignment horizontal="left" vertical="center"/>
    </xf>
    <xf numFmtId="0" fontId="38" fillId="0" borderId="19" xfId="0" applyFont="1" applyBorder="1" applyAlignment="1">
      <alignment vertical="center" shrinkToFit="1"/>
    </xf>
    <xf numFmtId="0" fontId="30" fillId="0" borderId="10" xfId="0" applyFont="1" applyBorder="1" applyAlignment="1">
      <alignment horizontal="left" vertical="center"/>
    </xf>
    <xf numFmtId="0" fontId="30" fillId="0" borderId="19" xfId="0" applyFont="1" applyBorder="1" applyAlignment="1">
      <alignment vertical="center" shrinkToFit="1"/>
    </xf>
    <xf numFmtId="0" fontId="29" fillId="0" borderId="26" xfId="0" applyFont="1" applyBorder="1" applyAlignment="1">
      <alignment vertical="center" wrapText="1" shrinkToFit="1"/>
    </xf>
    <xf numFmtId="0" fontId="30" fillId="0" borderId="26" xfId="0" applyFont="1" applyBorder="1" applyAlignment="1">
      <alignment horizontal="left" vertical="center"/>
    </xf>
    <xf numFmtId="0" fontId="38" fillId="0" borderId="26" xfId="0" applyFont="1" applyBorder="1" applyAlignment="1">
      <alignment vertical="center" shrinkToFit="1"/>
    </xf>
    <xf numFmtId="0" fontId="30" fillId="0" borderId="12" xfId="0" applyFont="1" applyBorder="1" applyAlignment="1">
      <alignment horizontal="left" vertical="center"/>
    </xf>
    <xf numFmtId="0" fontId="30" fillId="0" borderId="26" xfId="0" applyFont="1" applyBorder="1" applyAlignment="1">
      <alignment vertical="center" shrinkToFit="1"/>
    </xf>
    <xf numFmtId="0" fontId="3" fillId="0" borderId="0" xfId="0" applyFont="1" applyAlignment="1">
      <alignment vertical="center" shrinkToFit="1"/>
    </xf>
    <xf numFmtId="0" fontId="3" fillId="0" borderId="25" xfId="0" applyFont="1" applyBorder="1" applyAlignment="1">
      <alignment vertical="center" wrapText="1"/>
    </xf>
    <xf numFmtId="0" fontId="3" fillId="0" borderId="38" xfId="0" applyFont="1" applyBorder="1" applyAlignment="1">
      <alignment horizontal="left" vertical="center" wrapText="1"/>
    </xf>
    <xf numFmtId="0" fontId="32" fillId="0" borderId="34" xfId="0" applyFont="1" applyBorder="1" applyAlignment="1">
      <alignment horizontal="left" vertical="center"/>
    </xf>
    <xf numFmtId="0" fontId="3" fillId="0" borderId="16" xfId="247" applyFont="1" applyBorder="1" applyAlignment="1">
      <alignment horizontal="left" vertical="center" wrapText="1"/>
    </xf>
    <xf numFmtId="0" fontId="3" fillId="0" borderId="16" xfId="247" applyFont="1" applyBorder="1" applyAlignment="1">
      <alignment vertical="center" shrinkToFit="1"/>
    </xf>
    <xf numFmtId="0" fontId="3" fillId="0" borderId="36" xfId="0" applyFont="1" applyBorder="1" applyAlignment="1">
      <alignment horizontal="left" vertical="center" wrapText="1"/>
    </xf>
    <xf numFmtId="0" fontId="3" fillId="0" borderId="26" xfId="0" applyFont="1" applyBorder="1" applyAlignment="1">
      <alignment vertical="center" wrapText="1"/>
    </xf>
    <xf numFmtId="0" fontId="32" fillId="0" borderId="26" xfId="0" applyFont="1" applyBorder="1" applyAlignment="1">
      <alignment horizontal="left" vertical="center"/>
    </xf>
    <xf numFmtId="0" fontId="3" fillId="0" borderId="12" xfId="247" applyFont="1" applyBorder="1" applyAlignment="1">
      <alignment vertical="center" wrapText="1" shrinkToFit="1"/>
    </xf>
    <xf numFmtId="0" fontId="29" fillId="0" borderId="26" xfId="0" applyFont="1" applyBorder="1" applyAlignment="1">
      <alignment vertical="center" shrinkToFit="1"/>
    </xf>
    <xf numFmtId="0" fontId="32" fillId="0" borderId="23" xfId="0" applyFont="1" applyBorder="1" applyAlignment="1">
      <alignment horizontal="left" vertical="center"/>
    </xf>
    <xf numFmtId="0" fontId="32" fillId="0" borderId="11" xfId="0" applyFont="1" applyBorder="1" applyAlignment="1">
      <alignment horizontal="left" vertical="center" wrapText="1"/>
    </xf>
    <xf numFmtId="0" fontId="28" fillId="0" borderId="59" xfId="0" applyFont="1" applyBorder="1" applyAlignment="1">
      <alignment vertical="center" wrapText="1"/>
    </xf>
    <xf numFmtId="0" fontId="32" fillId="0" borderId="59" xfId="0" applyFont="1" applyBorder="1" applyAlignment="1">
      <alignment horizontal="left" vertical="center"/>
    </xf>
    <xf numFmtId="0" fontId="32" fillId="0" borderId="58" xfId="0" applyFont="1" applyBorder="1" applyAlignment="1">
      <alignment vertical="center" wrapText="1"/>
    </xf>
    <xf numFmtId="0" fontId="32" fillId="0" borderId="59" xfId="0" applyFont="1" applyBorder="1" applyAlignment="1">
      <alignment vertical="center" wrapText="1"/>
    </xf>
    <xf numFmtId="0" fontId="32" fillId="0" borderId="12" xfId="0" applyFont="1" applyBorder="1" applyAlignment="1">
      <alignment vertical="center"/>
    </xf>
    <xf numFmtId="0" fontId="29" fillId="0" borderId="33" xfId="0" applyFont="1" applyBorder="1" applyAlignment="1">
      <alignment vertical="center" wrapText="1" shrinkToFit="1"/>
    </xf>
    <xf numFmtId="0" fontId="32" fillId="0" borderId="34" xfId="0" applyFont="1" applyBorder="1" applyAlignment="1">
      <alignment vertical="center" wrapText="1" shrinkToFit="1"/>
    </xf>
    <xf numFmtId="0" fontId="29" fillId="0" borderId="41" xfId="0" applyFont="1" applyBorder="1" applyAlignment="1">
      <alignment vertical="center" shrinkToFit="1"/>
    </xf>
    <xf numFmtId="0" fontId="32" fillId="0" borderId="37" xfId="0" applyFont="1" applyBorder="1" applyAlignment="1">
      <alignment vertical="center" shrinkToFit="1"/>
    </xf>
    <xf numFmtId="0" fontId="32" fillId="0" borderId="12" xfId="0" applyFont="1" applyBorder="1" applyAlignment="1">
      <alignment horizontal="left" vertical="center" wrapText="1"/>
    </xf>
    <xf numFmtId="0" fontId="32" fillId="0" borderId="26" xfId="0" applyFont="1" applyBorder="1" applyAlignment="1">
      <alignment vertical="center" wrapText="1" shrinkToFit="1"/>
    </xf>
    <xf numFmtId="0" fontId="3" fillId="0" borderId="37" xfId="247" applyFont="1" applyBorder="1" applyAlignment="1">
      <alignment horizontal="center" vertical="center" textRotation="90" shrinkToFit="1"/>
    </xf>
    <xf numFmtId="0" fontId="3" fillId="0" borderId="23" xfId="247" applyFont="1" applyBorder="1" applyAlignment="1">
      <alignment vertical="center" wrapText="1" shrinkToFit="1"/>
    </xf>
    <xf numFmtId="0" fontId="3" fillId="0" borderId="19" xfId="0" applyFont="1" applyBorder="1" applyAlignment="1">
      <alignment horizontal="left" vertical="center"/>
    </xf>
    <xf numFmtId="0" fontId="29" fillId="0" borderId="19" xfId="0" applyFont="1" applyBorder="1" applyAlignment="1">
      <alignment vertical="center" shrinkToFit="1"/>
    </xf>
    <xf numFmtId="0" fontId="32" fillId="20" borderId="25" xfId="0" applyFont="1" applyFill="1" applyBorder="1" applyAlignment="1">
      <alignment horizontal="center" vertical="center" textRotation="90" wrapText="1"/>
    </xf>
    <xf numFmtId="0" fontId="32" fillId="0" borderId="0" xfId="0" applyFont="1" applyAlignment="1">
      <alignment horizontal="left" vertical="center" wrapText="1" shrinkToFit="1"/>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3" fillId="0" borderId="43" xfId="0" applyFont="1" applyBorder="1" applyAlignment="1">
      <alignment vertical="center" shrinkToFit="1"/>
    </xf>
    <xf numFmtId="0" fontId="3" fillId="0" borderId="59" xfId="0" applyFont="1" applyBorder="1" applyAlignment="1">
      <alignment horizontal="left" vertical="center"/>
    </xf>
    <xf numFmtId="0" fontId="3" fillId="0" borderId="64" xfId="0" applyFont="1" applyBorder="1" applyAlignment="1">
      <alignment vertical="center" shrinkToFit="1"/>
    </xf>
    <xf numFmtId="0" fontId="3" fillId="0" borderId="16" xfId="0" applyFont="1" applyBorder="1" applyAlignment="1">
      <alignment horizontal="left" vertical="center"/>
    </xf>
    <xf numFmtId="0" fontId="32" fillId="0" borderId="34" xfId="0" applyFont="1" applyBorder="1" applyAlignment="1">
      <alignment vertical="center" shrinkToFit="1"/>
    </xf>
    <xf numFmtId="0" fontId="3" fillId="0" borderId="36" xfId="0" applyFont="1" applyBorder="1" applyAlignment="1">
      <alignment horizontal="left" vertical="center" shrinkToFit="1"/>
    </xf>
    <xf numFmtId="0" fontId="3" fillId="0" borderId="27" xfId="0" applyFont="1" applyBorder="1" applyAlignment="1">
      <alignment horizontal="left" vertical="center" wrapText="1"/>
    </xf>
    <xf numFmtId="0" fontId="3" fillId="0" borderId="62" xfId="0" applyFont="1" applyBorder="1" applyAlignment="1">
      <alignment horizontal="left" vertical="center" wrapText="1"/>
    </xf>
    <xf numFmtId="0" fontId="3" fillId="0" borderId="59" xfId="0" applyFont="1" applyBorder="1" applyAlignment="1">
      <alignment horizontal="left" vertical="center" wrapText="1"/>
    </xf>
    <xf numFmtId="0" fontId="29" fillId="0" borderId="59" xfId="0" applyFont="1" applyBorder="1" applyAlignment="1">
      <alignment vertical="center" shrinkToFit="1"/>
    </xf>
    <xf numFmtId="0" fontId="35" fillId="0" borderId="0" xfId="0" applyFont="1" applyAlignment="1">
      <alignment horizontal="center" vertical="center" wrapText="1"/>
    </xf>
    <xf numFmtId="49" fontId="3" fillId="0" borderId="0" xfId="0" applyNumberFormat="1" applyFont="1" applyAlignment="1">
      <alignment vertical="top" wrapText="1"/>
    </xf>
    <xf numFmtId="0" fontId="3" fillId="0" borderId="0" xfId="0" applyFont="1" applyAlignment="1">
      <alignment horizontal="left" vertical="center" wrapText="1"/>
    </xf>
    <xf numFmtId="22" fontId="3" fillId="0" borderId="0" xfId="0" applyNumberFormat="1" applyFont="1" applyAlignment="1">
      <alignment horizontal="left" vertical="center" shrinkToFit="1"/>
    </xf>
    <xf numFmtId="0" fontId="3" fillId="0" borderId="0" xfId="0" applyFont="1" applyAlignment="1">
      <alignment horizontal="left" vertical="center" shrinkToFit="1"/>
    </xf>
    <xf numFmtId="49" fontId="0" fillId="0" borderId="0" xfId="0" applyNumberFormat="1" applyAlignment="1">
      <alignment vertical="top" wrapText="1"/>
    </xf>
    <xf numFmtId="0" fontId="0" fillId="0" borderId="0" xfId="0" applyAlignment="1">
      <alignment vertical="top" wrapText="1"/>
    </xf>
    <xf numFmtId="0" fontId="0" fillId="0" borderId="0" xfId="0" applyAlignment="1">
      <alignment vertical="top" shrinkToFit="1"/>
    </xf>
    <xf numFmtId="0" fontId="35" fillId="0" borderId="0" xfId="0" applyFont="1" applyAlignment="1">
      <alignment wrapText="1"/>
    </xf>
    <xf numFmtId="0" fontId="0" fillId="0" borderId="0" xfId="0" applyAlignment="1">
      <alignment wrapText="1"/>
    </xf>
    <xf numFmtId="0" fontId="0" fillId="0" borderId="0" xfId="0" applyAlignment="1">
      <alignment shrinkToFit="1"/>
    </xf>
    <xf numFmtId="0" fontId="36" fillId="17" borderId="29" xfId="0" applyFont="1" applyFill="1" applyBorder="1" applyAlignment="1">
      <alignment horizontal="center" vertical="center" wrapText="1"/>
    </xf>
    <xf numFmtId="0" fontId="35" fillId="0" borderId="0" xfId="0" applyFont="1" applyAlignment="1">
      <alignment horizontal="center" vertical="center" shrinkToFit="1"/>
    </xf>
    <xf numFmtId="0" fontId="35" fillId="0" borderId="0" xfId="0" applyFont="1" applyAlignment="1">
      <alignment horizontal="left" vertical="center" wrapText="1" indent="2"/>
    </xf>
    <xf numFmtId="0" fontId="35" fillId="0" borderId="0" xfId="0" applyFont="1" applyAlignment="1">
      <alignment horizontal="left" vertical="center" shrinkToFit="1"/>
    </xf>
    <xf numFmtId="0" fontId="35" fillId="0" borderId="0" xfId="0" applyFont="1" applyAlignment="1">
      <alignment shrinkToFit="1"/>
    </xf>
    <xf numFmtId="0" fontId="3" fillId="17" borderId="62" xfId="0" applyFont="1" applyFill="1" applyBorder="1" applyAlignment="1">
      <alignment horizontal="center" vertical="center" shrinkToFit="1"/>
    </xf>
    <xf numFmtId="49" fontId="3" fillId="17" borderId="58" xfId="0" applyNumberFormat="1" applyFont="1" applyFill="1" applyBorder="1" applyAlignment="1">
      <alignment horizontal="center" vertical="center" wrapText="1"/>
    </xf>
    <xf numFmtId="0" fontId="3" fillId="17" borderId="58" xfId="0" applyFont="1" applyFill="1" applyBorder="1" applyAlignment="1">
      <alignment horizontal="center" vertical="center" wrapText="1"/>
    </xf>
    <xf numFmtId="0" fontId="3" fillId="17" borderId="58" xfId="0" applyFont="1" applyFill="1" applyBorder="1" applyAlignment="1">
      <alignment horizontal="center" vertical="center" shrinkToFit="1"/>
    </xf>
    <xf numFmtId="0" fontId="3" fillId="17" borderId="59" xfId="0" applyFont="1" applyFill="1" applyBorder="1" applyAlignment="1">
      <alignment horizontal="center" vertical="center" shrinkToFit="1"/>
    </xf>
    <xf numFmtId="0" fontId="26" fillId="22" borderId="15" xfId="0" applyFont="1" applyFill="1" applyBorder="1" applyAlignment="1">
      <alignment horizontal="center" vertical="center" shrinkToFit="1"/>
    </xf>
    <xf numFmtId="0" fontId="3" fillId="0" borderId="0" xfId="0" applyFont="1" applyAlignment="1">
      <alignment horizontal="left" vertical="center" wrapText="1" indent="2"/>
    </xf>
    <xf numFmtId="0" fontId="3" fillId="0" borderId="11" xfId="0" applyFont="1" applyBorder="1" applyAlignment="1">
      <alignment horizontal="left" vertical="center" wrapText="1" shrinkToFit="1"/>
    </xf>
    <xf numFmtId="0" fontId="28" fillId="0" borderId="84" xfId="0" applyFont="1" applyBorder="1" applyAlignment="1">
      <alignment horizontal="left" vertical="center"/>
    </xf>
    <xf numFmtId="49" fontId="28" fillId="0" borderId="86" xfId="0" applyNumberFormat="1" applyFont="1" applyBorder="1" applyAlignment="1">
      <alignment vertical="center"/>
    </xf>
    <xf numFmtId="0" fontId="38" fillId="0" borderId="0" xfId="0" applyFont="1" applyAlignment="1">
      <alignment vertical="center" shrinkToFit="1"/>
    </xf>
    <xf numFmtId="0" fontId="21" fillId="0" borderId="0" xfId="0" applyFont="1" applyAlignment="1">
      <alignment vertical="center" wrapText="1"/>
    </xf>
    <xf numFmtId="0" fontId="38" fillId="0" borderId="41" xfId="0" applyFont="1" applyBorder="1" applyAlignment="1">
      <alignment vertical="center" shrinkToFit="1"/>
    </xf>
    <xf numFmtId="0" fontId="30" fillId="0" borderId="23" xfId="0" applyFont="1" applyBorder="1" applyAlignment="1">
      <alignment vertical="center" shrinkToFit="1"/>
    </xf>
    <xf numFmtId="49" fontId="3" fillId="0" borderId="26" xfId="0" applyNumberFormat="1" applyFont="1" applyBorder="1" applyAlignment="1">
      <alignment vertical="center" wrapText="1"/>
    </xf>
    <xf numFmtId="0" fontId="30" fillId="0" borderId="10" xfId="0" applyFont="1" applyBorder="1" applyAlignment="1">
      <alignment vertical="center" wrapText="1"/>
    </xf>
    <xf numFmtId="0" fontId="30" fillId="0" borderId="19" xfId="0" applyFont="1" applyBorder="1" applyAlignment="1">
      <alignment vertical="center" wrapText="1"/>
    </xf>
    <xf numFmtId="0" fontId="28" fillId="0" borderId="10" xfId="0" applyFont="1" applyBorder="1" applyAlignment="1">
      <alignment vertical="center" shrinkToFit="1"/>
    </xf>
    <xf numFmtId="0" fontId="36" fillId="0" borderId="83" xfId="0" applyFont="1" applyBorder="1" applyAlignment="1">
      <alignment horizontal="center" vertical="center" wrapText="1"/>
    </xf>
    <xf numFmtId="0" fontId="30" fillId="0" borderId="11" xfId="0" applyFont="1" applyBorder="1" applyAlignment="1">
      <alignment vertical="center" wrapText="1"/>
    </xf>
    <xf numFmtId="0" fontId="30" fillId="0" borderId="59" xfId="0" applyFont="1" applyBorder="1" applyAlignment="1">
      <alignment vertical="center" wrapText="1"/>
    </xf>
    <xf numFmtId="0" fontId="28" fillId="0" borderId="11" xfId="0" applyFont="1" applyBorder="1" applyAlignment="1">
      <alignment horizontal="left" vertical="center" wrapText="1"/>
    </xf>
    <xf numFmtId="0" fontId="28" fillId="0" borderId="11" xfId="0" applyFont="1" applyBorder="1" applyAlignment="1">
      <alignment vertical="center" shrinkToFit="1"/>
    </xf>
    <xf numFmtId="0" fontId="32" fillId="0" borderId="16" xfId="248" applyFont="1" applyFill="1" applyBorder="1" applyAlignment="1" applyProtection="1">
      <alignment horizontal="left" vertical="center"/>
    </xf>
    <xf numFmtId="0" fontId="32" fillId="0" borderId="38" xfId="0" applyFont="1" applyBorder="1" applyAlignment="1">
      <alignment horizontal="left" vertical="center" shrinkToFit="1"/>
    </xf>
    <xf numFmtId="0" fontId="33" fillId="0" borderId="0" xfId="0" applyFont="1" applyAlignment="1">
      <alignment vertical="center" shrinkToFit="1"/>
    </xf>
    <xf numFmtId="176" fontId="3" fillId="0" borderId="16" xfId="0" applyNumberFormat="1" applyFont="1" applyBorder="1" applyAlignment="1">
      <alignment vertical="center" shrinkToFit="1"/>
    </xf>
    <xf numFmtId="0" fontId="32" fillId="0" borderId="12" xfId="0" applyFont="1" applyBorder="1" applyAlignment="1">
      <alignment horizontal="left" vertical="center"/>
    </xf>
    <xf numFmtId="0" fontId="32" fillId="0" borderId="36" xfId="0" applyFont="1" applyBorder="1" applyAlignment="1">
      <alignment horizontal="left" vertical="center" shrinkToFit="1"/>
    </xf>
    <xf numFmtId="0" fontId="33" fillId="0" borderId="41" xfId="0" applyFont="1" applyBorder="1" applyAlignment="1">
      <alignment vertical="center" shrinkToFit="1"/>
    </xf>
    <xf numFmtId="49" fontId="23" fillId="0" borderId="0" xfId="0" applyNumberFormat="1" applyFont="1" applyAlignment="1">
      <alignment horizontal="center" vertical="center" wrapText="1"/>
    </xf>
    <xf numFmtId="0" fontId="23" fillId="0" borderId="11" xfId="0" applyFont="1" applyBorder="1" applyAlignment="1">
      <alignment horizontal="left" vertical="center" wrapText="1"/>
    </xf>
    <xf numFmtId="0" fontId="23" fillId="0" borderId="11" xfId="0" applyFont="1" applyBorder="1" applyAlignment="1">
      <alignment horizontal="left" vertical="center" shrinkToFit="1"/>
    </xf>
    <xf numFmtId="0" fontId="23" fillId="0" borderId="0" xfId="0" applyFont="1" applyAlignment="1">
      <alignment vertical="center" shrinkToFit="1"/>
    </xf>
    <xf numFmtId="49" fontId="23" fillId="0" borderId="64" xfId="0" applyNumberFormat="1" applyFont="1" applyBorder="1" applyAlignment="1">
      <alignment horizontal="center" vertical="center" wrapText="1"/>
    </xf>
    <xf numFmtId="0" fontId="23" fillId="0" borderId="58" xfId="0" applyFont="1" applyBorder="1" applyAlignment="1">
      <alignment horizontal="left" vertical="center" wrapText="1"/>
    </xf>
    <xf numFmtId="0" fontId="23" fillId="0" borderId="58" xfId="0" applyFont="1" applyBorder="1" applyAlignment="1">
      <alignment horizontal="left" vertical="center" shrinkToFit="1"/>
    </xf>
    <xf numFmtId="0" fontId="23" fillId="0" borderId="64" xfId="0" applyFont="1" applyBorder="1" applyAlignment="1">
      <alignment vertical="center" shrinkToFit="1"/>
    </xf>
    <xf numFmtId="0" fontId="32" fillId="0" borderId="11" xfId="248" applyFont="1" applyFill="1" applyBorder="1" applyAlignment="1" applyProtection="1">
      <alignment horizontal="left" vertical="center"/>
    </xf>
    <xf numFmtId="0" fontId="32" fillId="0" borderId="0" xfId="0" applyFont="1" applyAlignment="1">
      <alignment vertical="center" shrinkToFit="1"/>
    </xf>
    <xf numFmtId="0" fontId="30" fillId="0" borderId="11" xfId="0" applyFont="1" applyBorder="1" applyAlignment="1">
      <alignment vertical="center" shrinkToFit="1"/>
    </xf>
    <xf numFmtId="0" fontId="32" fillId="0" borderId="41" xfId="0" applyFont="1" applyBorder="1" applyAlignment="1">
      <alignment vertical="center" shrinkToFit="1"/>
    </xf>
    <xf numFmtId="0" fontId="30" fillId="0" borderId="12" xfId="0" applyFont="1" applyBorder="1" applyAlignment="1">
      <alignment vertical="center" wrapText="1"/>
    </xf>
    <xf numFmtId="0" fontId="30" fillId="0" borderId="12" xfId="0" applyFont="1" applyBorder="1" applyAlignment="1">
      <alignment vertical="center" wrapText="1" shrinkToFit="1"/>
    </xf>
    <xf numFmtId="0" fontId="3" fillId="0" borderId="34" xfId="248" applyFont="1" applyFill="1" applyBorder="1" applyAlignment="1" applyProtection="1">
      <alignment horizontal="left" vertical="center" shrinkToFit="1"/>
    </xf>
    <xf numFmtId="0" fontId="3" fillId="0" borderId="34" xfId="0" applyFont="1" applyBorder="1" applyAlignment="1">
      <alignment vertical="center" wrapText="1" shrinkToFit="1"/>
    </xf>
    <xf numFmtId="0" fontId="3" fillId="0" borderId="41" xfId="0" applyFont="1" applyBorder="1" applyAlignment="1">
      <alignment vertical="center" shrinkToFit="1"/>
    </xf>
    <xf numFmtId="0" fontId="3" fillId="0" borderId="23" xfId="0" applyFont="1" applyBorder="1" applyAlignment="1">
      <alignment horizontal="left" vertical="center" wrapText="1"/>
    </xf>
    <xf numFmtId="0" fontId="41" fillId="0" borderId="26" xfId="0" applyFont="1" applyBorder="1" applyAlignment="1">
      <alignment vertical="center" shrinkToFit="1"/>
    </xf>
    <xf numFmtId="0" fontId="28" fillId="0" borderId="27" xfId="0" applyFont="1" applyBorder="1" applyAlignment="1">
      <alignment horizontal="left" vertical="center"/>
    </xf>
    <xf numFmtId="49" fontId="28" fillId="0" borderId="62" xfId="0" applyNumberFormat="1" applyFont="1" applyBorder="1" applyAlignment="1">
      <alignment vertical="center"/>
    </xf>
    <xf numFmtId="0" fontId="3" fillId="0" borderId="0" xfId="0" applyFont="1" applyBorder="1" applyAlignment="1">
      <alignment vertical="center" shrinkToFit="1"/>
    </xf>
    <xf numFmtId="0" fontId="3" fillId="0" borderId="64" xfId="0" applyFont="1" applyBorder="1" applyAlignment="1">
      <alignment vertical="center" wrapText="1"/>
    </xf>
    <xf numFmtId="0" fontId="21" fillId="0" borderId="54" xfId="0" applyFont="1" applyBorder="1" applyAlignment="1">
      <alignment horizontal="center" vertical="center" wrapText="1" shrinkToFit="1"/>
    </xf>
    <xf numFmtId="0" fontId="21" fillId="0" borderId="68" xfId="0" applyFont="1" applyBorder="1" applyAlignment="1">
      <alignment horizontal="center" vertical="center" wrapText="1" shrinkToFit="1"/>
    </xf>
    <xf numFmtId="0" fontId="24" fillId="19" borderId="20" xfId="0" applyFont="1" applyFill="1" applyBorder="1" applyAlignment="1" applyProtection="1">
      <alignment horizontal="center" vertical="center" shrinkToFit="1"/>
    </xf>
    <xf numFmtId="0" fontId="24" fillId="19" borderId="92" xfId="0" applyFont="1" applyFill="1" applyBorder="1" applyAlignment="1" applyProtection="1">
      <alignment horizontal="center" vertical="center" shrinkToFit="1"/>
    </xf>
    <xf numFmtId="0" fontId="34" fillId="19" borderId="67" xfId="0" applyFont="1" applyFill="1" applyBorder="1" applyAlignment="1">
      <alignment horizontal="center" shrinkToFit="1"/>
    </xf>
    <xf numFmtId="0" fontId="34" fillId="19" borderId="69" xfId="0" applyFont="1" applyFill="1" applyBorder="1" applyAlignment="1">
      <alignment horizontal="center" shrinkToFit="1"/>
    </xf>
    <xf numFmtId="0" fontId="25" fillId="0" borderId="18" xfId="0" applyFont="1" applyBorder="1" applyAlignment="1">
      <alignment horizontal="center" vertical="center" wrapText="1"/>
    </xf>
    <xf numFmtId="0" fontId="25" fillId="0" borderId="2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4"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26" fillId="18" borderId="77" xfId="0" applyFont="1" applyFill="1" applyBorder="1" applyAlignment="1">
      <alignment horizontal="center" vertical="center" wrapText="1" shrinkToFit="1"/>
    </xf>
    <xf numFmtId="0" fontId="26" fillId="19" borderId="21" xfId="247" applyFont="1" applyFill="1" applyBorder="1" applyAlignment="1" applyProtection="1">
      <alignment horizontal="center" vertical="center" shrinkToFit="1"/>
      <protection locked="0"/>
    </xf>
    <xf numFmtId="0" fontId="26" fillId="19" borderId="35" xfId="247" applyFont="1" applyFill="1" applyBorder="1" applyAlignment="1" applyProtection="1">
      <alignment horizontal="center" vertical="center" shrinkToFit="1"/>
      <protection locked="0"/>
    </xf>
    <xf numFmtId="0" fontId="26" fillId="18" borderId="61" xfId="0" applyFont="1" applyFill="1" applyBorder="1" applyAlignment="1">
      <alignment horizontal="center" vertical="center" wrapText="1" shrinkToFit="1"/>
    </xf>
    <xf numFmtId="0" fontId="26" fillId="18" borderId="56" xfId="0" applyFont="1" applyFill="1" applyBorder="1" applyAlignment="1">
      <alignment horizontal="center" vertical="center" wrapText="1" shrinkToFit="1"/>
    </xf>
    <xf numFmtId="0" fontId="26" fillId="19" borderId="15" xfId="247" applyFont="1" applyFill="1" applyBorder="1" applyAlignment="1" applyProtection="1">
      <alignment horizontal="center" vertical="center" shrinkToFit="1"/>
      <protection locked="0"/>
    </xf>
    <xf numFmtId="49" fontId="32" fillId="0" borderId="11" xfId="0" applyNumberFormat="1" applyFont="1" applyBorder="1" applyAlignment="1">
      <alignment horizontal="center" vertical="center" wrapText="1"/>
    </xf>
    <xf numFmtId="49" fontId="32" fillId="0" borderId="58" xfId="0" applyNumberFormat="1" applyFont="1" applyBorder="1" applyAlignment="1">
      <alignment horizontal="center" vertical="center" wrapText="1"/>
    </xf>
    <xf numFmtId="0" fontId="26" fillId="19" borderId="66" xfId="247" applyFont="1" applyFill="1" applyBorder="1" applyAlignment="1" applyProtection="1">
      <alignment horizontal="center" vertical="center" shrinkToFit="1"/>
      <protection locked="0"/>
    </xf>
    <xf numFmtId="0" fontId="26" fillId="19" borderId="67" xfId="247" applyFont="1" applyFill="1" applyBorder="1" applyAlignment="1" applyProtection="1">
      <alignment horizontal="center" vertical="center" shrinkToFit="1"/>
      <protection locked="0"/>
    </xf>
    <xf numFmtId="0" fontId="21" fillId="0" borderId="44"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2" xfId="0" applyFont="1" applyBorder="1" applyAlignment="1">
      <alignment horizontal="center" vertical="center" wrapText="1"/>
    </xf>
    <xf numFmtId="0" fontId="26" fillId="19" borderId="17" xfId="247" applyFont="1" applyFill="1" applyBorder="1" applyAlignment="1" applyProtection="1">
      <alignment horizontal="center" vertical="center" shrinkToFit="1"/>
      <protection locked="0"/>
    </xf>
    <xf numFmtId="0" fontId="26" fillId="19" borderId="24" xfId="247" applyFont="1" applyFill="1" applyBorder="1" applyAlignment="1" applyProtection="1">
      <alignment horizontal="center" vertical="center" shrinkToFit="1"/>
      <protection locked="0"/>
    </xf>
    <xf numFmtId="49" fontId="31" fillId="0" borderId="10" xfId="0" applyNumberFormat="1" applyFont="1" applyBorder="1" applyAlignment="1">
      <alignment horizontal="center" vertical="center" wrapText="1"/>
    </xf>
    <xf numFmtId="49" fontId="31" fillId="0" borderId="12" xfId="0" applyNumberFormat="1" applyFont="1" applyBorder="1" applyAlignment="1">
      <alignment horizontal="center" vertical="center" wrapText="1"/>
    </xf>
    <xf numFmtId="0" fontId="31" fillId="20" borderId="42" xfId="0" applyFont="1" applyFill="1" applyBorder="1" applyAlignment="1">
      <alignment horizontal="center" vertical="center" textRotation="90" wrapText="1"/>
    </xf>
    <xf numFmtId="0" fontId="31" fillId="20" borderId="22" xfId="0" applyFont="1" applyFill="1" applyBorder="1" applyAlignment="1">
      <alignment horizontal="center" vertical="center" textRotation="90" wrapText="1"/>
    </xf>
    <xf numFmtId="0" fontId="31" fillId="20" borderId="27" xfId="0" applyFont="1" applyFill="1" applyBorder="1" applyAlignment="1">
      <alignment horizontal="center" vertical="center" textRotation="90" wrapText="1"/>
    </xf>
    <xf numFmtId="0" fontId="31" fillId="20" borderId="36" xfId="0" applyFont="1" applyFill="1" applyBorder="1" applyAlignment="1">
      <alignment horizontal="center" vertical="center" textRotation="90" wrapText="1"/>
    </xf>
    <xf numFmtId="0" fontId="3" fillId="24" borderId="25" xfId="0" applyFont="1" applyFill="1" applyBorder="1" applyAlignment="1">
      <alignment horizontal="center" vertical="center" textRotation="90" wrapText="1"/>
    </xf>
    <xf numFmtId="0" fontId="3" fillId="24" borderId="57" xfId="0" applyFont="1" applyFill="1" applyBorder="1" applyAlignment="1">
      <alignment horizontal="center" vertical="center" textRotation="90" wrapText="1"/>
    </xf>
    <xf numFmtId="49" fontId="3" fillId="0" borderId="11"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49" fontId="32" fillId="0" borderId="12" xfId="0" applyNumberFormat="1" applyFont="1" applyBorder="1" applyAlignment="1">
      <alignment horizontal="center" vertical="center" wrapText="1"/>
    </xf>
    <xf numFmtId="0" fontId="32" fillId="20" borderId="18" xfId="0" applyFont="1" applyFill="1" applyBorder="1" applyAlignment="1">
      <alignment horizontal="center" vertical="center" textRotation="90" wrapText="1"/>
    </xf>
    <xf numFmtId="0" fontId="32" fillId="20" borderId="22" xfId="0" applyFont="1" applyFill="1" applyBorder="1" applyAlignment="1">
      <alignment horizontal="center" vertical="center" textRotation="90" wrapText="1"/>
    </xf>
    <xf numFmtId="49" fontId="32" fillId="0" borderId="16" xfId="0" applyNumberFormat="1" applyFont="1" applyBorder="1" applyAlignment="1">
      <alignment horizontal="center" vertical="center" wrapText="1"/>
    </xf>
    <xf numFmtId="0" fontId="31" fillId="0" borderId="12" xfId="0" applyFont="1" applyBorder="1" applyAlignment="1">
      <alignment horizontal="center" vertical="center" wrapText="1"/>
    </xf>
    <xf numFmtId="0" fontId="36" fillId="17" borderId="32" xfId="0" applyFont="1" applyFill="1" applyBorder="1" applyAlignment="1">
      <alignment horizontal="center" vertical="center" wrapText="1"/>
    </xf>
    <xf numFmtId="0" fontId="36" fillId="17" borderId="14" xfId="0" applyFont="1" applyFill="1" applyBorder="1" applyAlignment="1">
      <alignment horizontal="center" vertical="center" wrapText="1"/>
    </xf>
    <xf numFmtId="0" fontId="36" fillId="17" borderId="73" xfId="0" applyFont="1" applyFill="1" applyBorder="1" applyAlignment="1">
      <alignment horizontal="center" vertical="center" wrapText="1"/>
    </xf>
    <xf numFmtId="0" fontId="36" fillId="17" borderId="28" xfId="0" applyFont="1" applyFill="1" applyBorder="1" applyAlignment="1">
      <alignment horizontal="center" vertical="center" wrapText="1"/>
    </xf>
    <xf numFmtId="0" fontId="36" fillId="17" borderId="29" xfId="0" applyFont="1" applyFill="1" applyBorder="1" applyAlignment="1">
      <alignment horizontal="center" vertical="center" wrapText="1"/>
    </xf>
    <xf numFmtId="0" fontId="36" fillId="17" borderId="30" xfId="0" applyFont="1" applyFill="1" applyBorder="1" applyAlignment="1">
      <alignment horizontal="center" vertical="center" wrapText="1"/>
    </xf>
    <xf numFmtId="0" fontId="31" fillId="20" borderId="38" xfId="0" applyFont="1" applyFill="1" applyBorder="1" applyAlignment="1">
      <alignment horizontal="center" vertical="center" textRotation="90" wrapText="1"/>
    </xf>
    <xf numFmtId="0" fontId="26" fillId="18" borderId="39" xfId="0" applyFont="1" applyFill="1" applyBorder="1" applyAlignment="1">
      <alignment horizontal="center" vertical="center" wrapText="1" shrinkToFit="1"/>
    </xf>
    <xf numFmtId="0" fontId="36" fillId="0" borderId="75" xfId="0" applyFont="1" applyBorder="1" applyAlignment="1">
      <alignment horizontal="center" vertical="center" wrapText="1"/>
    </xf>
    <xf numFmtId="0" fontId="36" fillId="0" borderId="76" xfId="0" applyFont="1" applyBorder="1" applyAlignment="1">
      <alignment horizontal="center" vertical="center" wrapText="1"/>
    </xf>
    <xf numFmtId="0" fontId="36" fillId="0" borderId="78" xfId="0" applyFont="1" applyBorder="1" applyAlignment="1">
      <alignment horizontal="center" vertical="center" wrapText="1"/>
    </xf>
    <xf numFmtId="0" fontId="3" fillId="0" borderId="37" xfId="0" applyFont="1" applyBorder="1" applyAlignment="1">
      <alignment horizontal="center" vertical="center" textRotation="90" shrinkToFit="1"/>
    </xf>
    <xf numFmtId="0" fontId="31" fillId="23" borderId="42" xfId="0" applyFont="1" applyFill="1" applyBorder="1" applyAlignment="1">
      <alignment horizontal="center" vertical="center" textRotation="90" wrapText="1"/>
    </xf>
    <xf numFmtId="0" fontId="31" fillId="23" borderId="22" xfId="0" applyFont="1" applyFill="1" applyBorder="1" applyAlignment="1">
      <alignment horizontal="center" vertical="center" textRotation="90" wrapText="1"/>
    </xf>
    <xf numFmtId="49" fontId="31" fillId="23" borderId="10" xfId="0" applyNumberFormat="1" applyFont="1" applyFill="1" applyBorder="1" applyAlignment="1">
      <alignment horizontal="center" vertical="center" wrapText="1"/>
    </xf>
    <xf numFmtId="49" fontId="31" fillId="23" borderId="12" xfId="0" applyNumberFormat="1" applyFont="1" applyFill="1" applyBorder="1" applyAlignment="1">
      <alignment horizontal="center" vertical="center" wrapText="1"/>
    </xf>
    <xf numFmtId="0" fontId="26" fillId="19" borderId="77" xfId="247" applyFont="1" applyFill="1" applyBorder="1" applyAlignment="1" applyProtection="1">
      <alignment horizontal="center" vertical="center" shrinkToFit="1"/>
      <protection locked="0"/>
    </xf>
    <xf numFmtId="0" fontId="3" fillId="0" borderId="38" xfId="0" applyFont="1" applyBorder="1" applyAlignment="1">
      <alignment horizontal="center" vertical="center" textRotation="90" shrinkToFit="1"/>
    </xf>
    <xf numFmtId="49" fontId="3" fillId="0" borderId="16" xfId="0" applyNumberFormat="1" applyFont="1" applyBorder="1" applyAlignment="1">
      <alignment horizontal="center" vertical="center" wrapText="1"/>
    </xf>
    <xf numFmtId="0" fontId="31" fillId="20" borderId="18" xfId="0" applyFont="1" applyFill="1" applyBorder="1" applyAlignment="1">
      <alignment horizontal="center" vertical="center" textRotation="90" wrapText="1"/>
    </xf>
    <xf numFmtId="49" fontId="31" fillId="0" borderId="16" xfId="0" applyNumberFormat="1" applyFont="1" applyBorder="1" applyAlignment="1">
      <alignment horizontal="center" vertical="center" wrapText="1"/>
    </xf>
    <xf numFmtId="0" fontId="26" fillId="18" borderId="77" xfId="0" applyFont="1" applyFill="1" applyBorder="1" applyAlignment="1">
      <alignment horizontal="center" vertical="center" shrinkToFit="1"/>
    </xf>
    <xf numFmtId="49" fontId="3" fillId="0" borderId="80" xfId="247" applyNumberFormat="1" applyFont="1" applyBorder="1" applyAlignment="1">
      <alignment horizontal="center" vertical="center" wrapText="1"/>
    </xf>
    <xf numFmtId="49" fontId="3" fillId="0" borderId="63" xfId="247" applyNumberFormat="1" applyFont="1" applyBorder="1" applyAlignment="1">
      <alignment horizontal="center" vertical="center" wrapText="1"/>
    </xf>
    <xf numFmtId="0" fontId="32" fillId="20" borderId="25" xfId="0" applyFont="1" applyFill="1" applyBorder="1" applyAlignment="1">
      <alignment horizontal="center" vertical="center" textRotation="90" wrapText="1"/>
    </xf>
    <xf numFmtId="0" fontId="3" fillId="20" borderId="44" xfId="0" applyFont="1" applyFill="1" applyBorder="1" applyAlignment="1">
      <alignment horizontal="center" vertical="center" textRotation="90" wrapText="1"/>
    </xf>
    <xf numFmtId="0" fontId="3" fillId="20" borderId="54" xfId="0" applyFont="1" applyFill="1" applyBorder="1" applyAlignment="1">
      <alignment horizontal="center" vertical="center" textRotation="90" wrapText="1"/>
    </xf>
    <xf numFmtId="49" fontId="31" fillId="0" borderId="11" xfId="0" applyNumberFormat="1" applyFont="1" applyBorder="1" applyAlignment="1">
      <alignment horizontal="center" vertical="center" wrapText="1"/>
    </xf>
    <xf numFmtId="0" fontId="26" fillId="19" borderId="39" xfId="247" applyFont="1" applyFill="1" applyBorder="1" applyAlignment="1" applyProtection="1">
      <alignment horizontal="center" vertical="center" shrinkToFit="1"/>
      <protection locked="0"/>
    </xf>
    <xf numFmtId="0" fontId="30" fillId="20" borderId="42" xfId="0" applyFont="1" applyFill="1" applyBorder="1" applyAlignment="1">
      <alignment horizontal="center" vertical="center" textRotation="90" wrapText="1"/>
    </xf>
    <xf numFmtId="0" fontId="30" fillId="20" borderId="22" xfId="0" applyFont="1" applyFill="1" applyBorder="1" applyAlignment="1">
      <alignment horizontal="center" vertical="center" textRotation="90" wrapText="1"/>
    </xf>
    <xf numFmtId="0" fontId="22" fillId="19" borderId="12" xfId="0" applyFont="1" applyFill="1" applyBorder="1" applyAlignment="1" applyProtection="1">
      <alignment horizontal="center" wrapText="1"/>
      <protection locked="0"/>
    </xf>
    <xf numFmtId="0" fontId="22" fillId="19" borderId="63" xfId="0" applyFont="1" applyFill="1" applyBorder="1" applyAlignment="1" applyProtection="1">
      <alignment horizontal="center" wrapText="1"/>
      <protection locked="0"/>
    </xf>
    <xf numFmtId="0" fontId="36" fillId="17" borderId="71" xfId="0" applyFont="1" applyFill="1" applyBorder="1" applyAlignment="1">
      <alignment horizontal="center" vertical="center" wrapText="1"/>
    </xf>
    <xf numFmtId="0" fontId="31" fillId="20" borderId="37" xfId="0" applyFont="1" applyFill="1" applyBorder="1" applyAlignment="1">
      <alignment horizontal="center" vertical="center" textRotation="90" wrapText="1"/>
    </xf>
    <xf numFmtId="0" fontId="22" fillId="0" borderId="12" xfId="0" applyFont="1" applyBorder="1" applyAlignment="1">
      <alignment horizontal="center" wrapText="1"/>
    </xf>
    <xf numFmtId="0" fontId="22" fillId="0" borderId="63" xfId="0" applyFont="1" applyBorder="1" applyAlignment="1">
      <alignment horizontal="center" wrapText="1"/>
    </xf>
    <xf numFmtId="0" fontId="36" fillId="17" borderId="72" xfId="0" applyFont="1" applyFill="1" applyBorder="1" applyAlignment="1">
      <alignment horizontal="center" vertical="center" wrapText="1"/>
    </xf>
    <xf numFmtId="0" fontId="36" fillId="17" borderId="74" xfId="0" applyFont="1" applyFill="1" applyBorder="1" applyAlignment="1">
      <alignment horizontal="center" vertical="center" wrapText="1"/>
    </xf>
    <xf numFmtId="0" fontId="26" fillId="18" borderId="39" xfId="0" applyFont="1" applyFill="1" applyBorder="1" applyAlignment="1">
      <alignment horizontal="center" vertical="center" shrinkToFit="1"/>
    </xf>
    <xf numFmtId="0" fontId="26" fillId="19" borderId="56" xfId="247" applyFont="1" applyFill="1" applyBorder="1" applyAlignment="1" applyProtection="1">
      <alignment horizontal="center" vertical="center" shrinkToFit="1"/>
      <protection locked="0"/>
    </xf>
    <xf numFmtId="0" fontId="3" fillId="24" borderId="25" xfId="247" applyFont="1" applyFill="1" applyBorder="1" applyAlignment="1">
      <alignment horizontal="center" vertical="center" textRotation="90" shrinkToFit="1"/>
    </xf>
    <xf numFmtId="0" fontId="3" fillId="0" borderId="11" xfId="0" applyFont="1" applyBorder="1" applyAlignment="1">
      <alignment horizontal="center" vertical="center" wrapText="1"/>
    </xf>
    <xf numFmtId="0" fontId="26" fillId="18" borderId="79" xfId="0" applyFont="1" applyFill="1" applyBorder="1" applyAlignment="1">
      <alignment horizontal="center" vertical="center" wrapText="1" shrinkToFit="1"/>
    </xf>
    <xf numFmtId="49" fontId="30" fillId="0" borderId="10" xfId="0" applyNumberFormat="1" applyFont="1" applyBorder="1" applyAlignment="1">
      <alignment horizontal="center" vertical="center" wrapText="1"/>
    </xf>
    <xf numFmtId="49" fontId="30" fillId="0" borderId="12" xfId="0" applyNumberFormat="1" applyFont="1" applyBorder="1" applyAlignment="1">
      <alignment horizontal="center" vertical="center" wrapText="1"/>
    </xf>
    <xf numFmtId="0" fontId="3" fillId="0" borderId="42" xfId="0" applyFont="1" applyBorder="1" applyAlignment="1">
      <alignment horizontal="center" vertical="center" textRotation="90" shrinkToFit="1"/>
    </xf>
    <xf numFmtId="0" fontId="3" fillId="0" borderId="57" xfId="0" applyFont="1" applyBorder="1" applyAlignment="1">
      <alignment horizontal="center" vertical="center" textRotation="90" shrinkToFit="1"/>
    </xf>
    <xf numFmtId="0" fontId="32" fillId="20" borderId="18" xfId="0" applyFont="1" applyFill="1" applyBorder="1" applyAlignment="1">
      <alignment horizontal="center" vertical="center" textRotation="90" wrapText="1" shrinkToFit="1"/>
    </xf>
    <xf numFmtId="0" fontId="32" fillId="20" borderId="25" xfId="0" applyFont="1" applyFill="1" applyBorder="1" applyAlignment="1">
      <alignment horizontal="center" vertical="center" textRotation="90" wrapText="1" shrinkToFit="1"/>
    </xf>
    <xf numFmtId="49" fontId="30" fillId="0" borderId="16" xfId="0" applyNumberFormat="1" applyFont="1" applyBorder="1" applyAlignment="1">
      <alignment horizontal="center" vertical="center" wrapText="1"/>
    </xf>
    <xf numFmtId="0" fontId="3" fillId="0" borderId="27" xfId="0" applyFont="1" applyBorder="1" applyAlignment="1">
      <alignment horizontal="center" vertical="center" textRotation="90" shrinkToFit="1"/>
    </xf>
    <xf numFmtId="0" fontId="3" fillId="0" borderId="36" xfId="0" applyFont="1" applyBorder="1" applyAlignment="1">
      <alignment horizontal="center" vertical="center" textRotation="90" shrinkToFit="1"/>
    </xf>
    <xf numFmtId="0" fontId="36" fillId="0" borderId="83" xfId="0" applyFont="1" applyBorder="1" applyAlignment="1">
      <alignment horizontal="center" vertical="center" wrapText="1"/>
    </xf>
    <xf numFmtId="0" fontId="3" fillId="20" borderId="37" xfId="0" applyFont="1" applyFill="1" applyBorder="1" applyAlignment="1">
      <alignment horizontal="center" vertical="center" textRotation="90" wrapText="1"/>
    </xf>
    <xf numFmtId="0" fontId="3" fillId="20" borderId="36" xfId="0" applyFont="1" applyFill="1" applyBorder="1" applyAlignment="1">
      <alignment horizontal="center" vertical="center" textRotation="90" wrapText="1"/>
    </xf>
    <xf numFmtId="0" fontId="30" fillId="24" borderId="84" xfId="247" applyFont="1" applyFill="1" applyBorder="1" applyAlignment="1">
      <alignment horizontal="center" vertical="center" textRotation="90" shrinkToFit="1"/>
    </xf>
    <xf numFmtId="0" fontId="30" fillId="24" borderId="87" xfId="247" applyFont="1" applyFill="1" applyBorder="1" applyAlignment="1">
      <alignment horizontal="center" vertical="center" textRotation="90" shrinkToFit="1"/>
    </xf>
    <xf numFmtId="49" fontId="30" fillId="0" borderId="11" xfId="0" applyNumberFormat="1" applyFont="1" applyBorder="1" applyAlignment="1">
      <alignment horizontal="center" vertical="center" wrapText="1"/>
    </xf>
    <xf numFmtId="0" fontId="32" fillId="20" borderId="38" xfId="0" applyFont="1" applyFill="1" applyBorder="1" applyAlignment="1">
      <alignment horizontal="center" vertical="center" textRotation="90" wrapText="1"/>
    </xf>
    <xf numFmtId="0" fontId="32" fillId="20" borderId="36" xfId="0" applyFont="1" applyFill="1" applyBorder="1" applyAlignment="1">
      <alignment horizontal="center" vertical="center" textRotation="90" wrapText="1"/>
    </xf>
    <xf numFmtId="49" fontId="3" fillId="0" borderId="23"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0" fontId="23" fillId="0" borderId="36" xfId="0" applyFont="1" applyBorder="1" applyAlignment="1">
      <alignment horizontal="center" vertical="center" textRotation="90" shrinkToFit="1"/>
    </xf>
    <xf numFmtId="0" fontId="23" fillId="0" borderId="89" xfId="0" applyFont="1" applyBorder="1" applyAlignment="1">
      <alignment horizontal="center" vertical="center" textRotation="90" shrinkToFit="1"/>
    </xf>
    <xf numFmtId="49" fontId="32" fillId="0" borderId="34" xfId="0" applyNumberFormat="1" applyFont="1" applyBorder="1" applyAlignment="1">
      <alignment horizontal="center" vertical="center" wrapText="1"/>
    </xf>
    <xf numFmtId="49" fontId="32" fillId="0" borderId="26" xfId="0" applyNumberFormat="1" applyFont="1" applyBorder="1" applyAlignment="1">
      <alignment horizontal="center" vertical="center" wrapText="1"/>
    </xf>
    <xf numFmtId="0" fontId="3" fillId="0" borderId="65" xfId="0" applyFont="1" applyBorder="1" applyAlignment="1">
      <alignment horizontal="center" vertical="center" textRotation="90" shrinkToFit="1"/>
    </xf>
    <xf numFmtId="49" fontId="40" fillId="0" borderId="10" xfId="0" applyNumberFormat="1" applyFont="1" applyBorder="1" applyAlignment="1">
      <alignment horizontal="center" vertical="center" wrapText="1"/>
    </xf>
    <xf numFmtId="49" fontId="40" fillId="0" borderId="11" xfId="0" applyNumberFormat="1" applyFont="1" applyBorder="1" applyAlignment="1">
      <alignment horizontal="center" vertical="center" wrapText="1"/>
    </xf>
    <xf numFmtId="0" fontId="3" fillId="20" borderId="65" xfId="0" applyFont="1" applyFill="1" applyBorder="1" applyAlignment="1">
      <alignment horizontal="center" vertical="center" textRotation="90" wrapText="1"/>
    </xf>
    <xf numFmtId="0" fontId="32" fillId="20" borderId="37" xfId="0" applyFont="1" applyFill="1" applyBorder="1" applyAlignment="1">
      <alignment horizontal="center" vertical="center" textRotation="90" wrapText="1"/>
    </xf>
    <xf numFmtId="49" fontId="32" fillId="0" borderId="0" xfId="0" applyNumberFormat="1" applyFont="1" applyAlignment="1">
      <alignment horizontal="center" vertical="center" wrapText="1"/>
    </xf>
    <xf numFmtId="49" fontId="32" fillId="0" borderId="41" xfId="0" applyNumberFormat="1" applyFont="1" applyBorder="1" applyAlignment="1">
      <alignment horizontal="center" vertical="center" wrapText="1"/>
    </xf>
    <xf numFmtId="0" fontId="24" fillId="0" borderId="15" xfId="0" applyFont="1" applyBorder="1" applyAlignment="1">
      <alignment horizontal="center" vertical="center" wrapText="1"/>
    </xf>
    <xf numFmtId="0" fontId="0" fillId="0" borderId="21" xfId="0" applyBorder="1" applyAlignment="1">
      <alignment horizontal="center" vertical="center" wrapText="1"/>
    </xf>
    <xf numFmtId="0" fontId="0" fillId="0" borderId="56" xfId="0" applyBorder="1" applyAlignment="1">
      <alignment wrapText="1"/>
    </xf>
    <xf numFmtId="0" fontId="25" fillId="0" borderId="15" xfId="0" applyFont="1" applyBorder="1" applyAlignment="1">
      <alignment horizontal="center" vertical="center" shrinkToFit="1"/>
    </xf>
    <xf numFmtId="0" fontId="0" fillId="0" borderId="21" xfId="0" applyBorder="1" applyAlignment="1">
      <alignment horizontal="center" vertical="center" shrinkToFit="1"/>
    </xf>
    <xf numFmtId="0" fontId="0" fillId="0" borderId="56" xfId="0" applyBorder="1" applyAlignment="1">
      <alignment shrinkToFit="1"/>
    </xf>
    <xf numFmtId="38" fontId="24" fillId="0" borderId="42" xfId="375" applyFont="1" applyFill="1" applyBorder="1" applyAlignment="1">
      <alignment horizontal="center" vertical="center" wrapText="1"/>
    </xf>
    <xf numFmtId="38" fontId="24" fillId="0" borderId="22" xfId="375" applyFont="1" applyFill="1" applyBorder="1" applyAlignment="1">
      <alignment horizontal="center" vertical="center" wrapText="1"/>
    </xf>
    <xf numFmtId="0" fontId="24" fillId="0" borderId="42" xfId="0" applyFont="1" applyBorder="1" applyAlignment="1">
      <alignment horizontal="center" vertical="center" wrapText="1"/>
    </xf>
    <xf numFmtId="0" fontId="24" fillId="0" borderId="57" xfId="0" applyFont="1" applyBorder="1" applyAlignment="1">
      <alignment horizontal="center" vertical="center" wrapText="1"/>
    </xf>
    <xf numFmtId="0" fontId="25" fillId="0" borderId="20"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31" xfId="0" applyFont="1" applyBorder="1" applyAlignment="1">
      <alignment horizontal="center" vertical="center" shrinkToFit="1"/>
    </xf>
    <xf numFmtId="0" fontId="30" fillId="20" borderId="36" xfId="0" applyFont="1" applyFill="1" applyBorder="1" applyAlignment="1">
      <alignment horizontal="center" vertical="center" textRotation="90" wrapText="1"/>
    </xf>
    <xf numFmtId="0" fontId="30" fillId="20" borderId="65" xfId="0" applyFont="1" applyFill="1" applyBorder="1" applyAlignment="1">
      <alignment horizontal="center" vertical="center" textRotation="90" wrapText="1"/>
    </xf>
    <xf numFmtId="0" fontId="30" fillId="20" borderId="37" xfId="0" applyFont="1" applyFill="1" applyBorder="1" applyAlignment="1">
      <alignment horizontal="center" vertical="center" textRotation="90" wrapText="1"/>
    </xf>
    <xf numFmtId="0" fontId="30" fillId="20" borderId="38" xfId="0" applyFont="1" applyFill="1" applyBorder="1" applyAlignment="1">
      <alignment horizontal="center" vertical="center" textRotation="90"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25" borderId="37" xfId="0" applyFont="1" applyFill="1" applyBorder="1" applyAlignment="1">
      <alignment horizontal="center" vertical="center" textRotation="90" shrinkToFit="1"/>
    </xf>
    <xf numFmtId="0" fontId="30" fillId="25" borderId="36" xfId="0" applyFont="1" applyFill="1" applyBorder="1" applyAlignment="1">
      <alignment horizontal="center" vertical="center" textRotation="90" shrinkToFit="1"/>
    </xf>
    <xf numFmtId="0" fontId="26" fillId="19" borderId="79" xfId="247" applyFont="1" applyFill="1" applyBorder="1" applyAlignment="1" applyProtection="1">
      <alignment horizontal="center" vertical="center" shrinkToFit="1"/>
      <protection locked="0"/>
    </xf>
    <xf numFmtId="0" fontId="26" fillId="18" borderId="21" xfId="0" applyFont="1" applyFill="1" applyBorder="1" applyAlignment="1">
      <alignment horizontal="center" vertical="center" wrapText="1" shrinkToFit="1"/>
    </xf>
    <xf numFmtId="0" fontId="30" fillId="20" borderId="82" xfId="0" applyFont="1" applyFill="1" applyBorder="1" applyAlignment="1">
      <alignment horizontal="center" vertical="center" textRotation="90" wrapText="1"/>
    </xf>
    <xf numFmtId="0" fontId="30" fillId="20" borderId="27" xfId="0" applyFont="1" applyFill="1" applyBorder="1" applyAlignment="1">
      <alignment horizontal="center" vertical="center" textRotation="90" wrapText="1"/>
    </xf>
    <xf numFmtId="0" fontId="31" fillId="20" borderId="25" xfId="0" applyFont="1" applyFill="1" applyBorder="1" applyAlignment="1">
      <alignment horizontal="center" vertical="center" textRotation="90" wrapText="1"/>
    </xf>
    <xf numFmtId="0" fontId="32" fillId="20" borderId="68" xfId="0" applyFont="1" applyFill="1" applyBorder="1" applyAlignment="1">
      <alignment horizontal="center" vertical="center" textRotation="90" wrapText="1"/>
    </xf>
    <xf numFmtId="0" fontId="32" fillId="20" borderId="44" xfId="0" applyFont="1" applyFill="1" applyBorder="1" applyAlignment="1">
      <alignment horizontal="center" vertical="center" textRotation="90" wrapText="1"/>
    </xf>
    <xf numFmtId="0" fontId="32" fillId="20" borderId="54" xfId="0" applyFont="1" applyFill="1" applyBorder="1" applyAlignment="1">
      <alignment horizontal="center" vertical="center" textRotation="90" wrapText="1"/>
    </xf>
    <xf numFmtId="0" fontId="3" fillId="20" borderId="18" xfId="0" applyFont="1" applyFill="1" applyBorder="1" applyAlignment="1">
      <alignment horizontal="center" vertical="center" textRotation="90" wrapText="1"/>
    </xf>
    <xf numFmtId="0" fontId="3" fillId="20" borderId="22" xfId="0" applyFont="1" applyFill="1" applyBorder="1" applyAlignment="1">
      <alignment horizontal="center" vertical="center" textRotation="90"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1" fillId="20" borderId="65" xfId="0" applyFont="1" applyFill="1" applyBorder="1" applyAlignment="1">
      <alignment horizontal="center" vertical="center" textRotation="90" wrapText="1"/>
    </xf>
    <xf numFmtId="0" fontId="3" fillId="0" borderId="62" xfId="0" applyFont="1" applyBorder="1" applyAlignment="1">
      <alignment horizontal="center" vertical="center" textRotation="90" shrinkToFit="1"/>
    </xf>
    <xf numFmtId="0" fontId="21" fillId="0" borderId="63" xfId="0" applyFont="1" applyBorder="1" applyAlignment="1">
      <alignment horizontal="center" vertical="top" wrapText="1"/>
    </xf>
    <xf numFmtId="0" fontId="22" fillId="0" borderId="63" xfId="0" applyFont="1" applyBorder="1" applyAlignment="1">
      <alignment wrapText="1"/>
    </xf>
    <xf numFmtId="0" fontId="22" fillId="0" borderId="10" xfId="0" applyFont="1" applyBorder="1" applyAlignment="1">
      <alignment horizontal="center" wrapText="1"/>
    </xf>
    <xf numFmtId="0" fontId="3" fillId="0" borderId="43" xfId="0" applyFont="1" applyBorder="1" applyAlignment="1">
      <alignment horizontal="left" vertical="center" wrapText="1" shrinkToFit="1"/>
    </xf>
    <xf numFmtId="0" fontId="3" fillId="0" borderId="41" xfId="0" applyFont="1" applyBorder="1" applyAlignment="1">
      <alignment horizontal="left" vertical="center" wrapText="1" shrinkToFit="1"/>
    </xf>
    <xf numFmtId="0" fontId="3" fillId="0" borderId="16" xfId="0" applyFont="1" applyBorder="1" applyAlignment="1">
      <alignment horizontal="center" vertical="center" wrapText="1"/>
    </xf>
    <xf numFmtId="0" fontId="3" fillId="20" borderId="42" xfId="0" applyFont="1" applyFill="1" applyBorder="1" applyAlignment="1">
      <alignment horizontal="center" vertical="center" textRotation="90" wrapText="1"/>
    </xf>
    <xf numFmtId="49" fontId="3" fillId="0" borderId="19"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3" fillId="24" borderId="38" xfId="247" applyFont="1" applyFill="1" applyBorder="1" applyAlignment="1">
      <alignment horizontal="center" vertical="center" textRotation="90" shrinkToFit="1"/>
    </xf>
    <xf numFmtId="0" fontId="3" fillId="24" borderId="36" xfId="247" applyFont="1" applyFill="1" applyBorder="1" applyAlignment="1">
      <alignment horizontal="center" vertical="center" textRotation="90" shrinkToFit="1"/>
    </xf>
    <xf numFmtId="0" fontId="3" fillId="24" borderId="27" xfId="0" applyFont="1" applyFill="1" applyBorder="1" applyAlignment="1">
      <alignment horizontal="center" vertical="center" textRotation="90" wrapText="1"/>
    </xf>
    <xf numFmtId="0" fontId="3" fillId="24" borderId="36" xfId="0" applyFont="1" applyFill="1" applyBorder="1" applyAlignment="1">
      <alignment horizontal="center" vertical="center" textRotation="90" wrapText="1"/>
    </xf>
    <xf numFmtId="0" fontId="3" fillId="24" borderId="37" xfId="247" applyFont="1" applyFill="1" applyBorder="1" applyAlignment="1">
      <alignment horizontal="center" vertical="center" textRotation="90" shrinkToFit="1"/>
    </xf>
    <xf numFmtId="0" fontId="3" fillId="0" borderId="27" xfId="0" applyFont="1" applyBorder="1" applyAlignment="1">
      <alignment horizontal="center" vertical="center" textRotation="90" wrapText="1"/>
    </xf>
    <xf numFmtId="0" fontId="3" fillId="0" borderId="62" xfId="0" applyFont="1" applyBorder="1" applyAlignment="1">
      <alignment horizontal="center" vertical="center" textRotation="90" wrapText="1"/>
    </xf>
    <xf numFmtId="0" fontId="30" fillId="20" borderId="25" xfId="0" applyFont="1" applyFill="1" applyBorder="1" applyAlignment="1">
      <alignment horizontal="center" vertical="center" textRotation="90" wrapText="1"/>
    </xf>
    <xf numFmtId="0" fontId="3" fillId="0" borderId="25" xfId="0" applyFont="1" applyBorder="1" applyAlignment="1">
      <alignment horizontal="center" vertical="center" textRotation="90" shrinkToFit="1"/>
    </xf>
    <xf numFmtId="0" fontId="3" fillId="24" borderId="42" xfId="247" applyFont="1" applyFill="1" applyBorder="1" applyAlignment="1">
      <alignment horizontal="center" vertical="center" textRotation="90" shrinkToFit="1"/>
    </xf>
    <xf numFmtId="0" fontId="3" fillId="24" borderId="57" xfId="247" applyFont="1" applyFill="1" applyBorder="1" applyAlignment="1">
      <alignment horizontal="center" vertical="center" textRotation="90" shrinkToFit="1"/>
    </xf>
    <xf numFmtId="0" fontId="3" fillId="0" borderId="27" xfId="247" applyFont="1" applyBorder="1" applyAlignment="1">
      <alignment horizontal="center" vertical="center" textRotation="90" shrinkToFit="1"/>
    </xf>
    <xf numFmtId="0" fontId="3" fillId="0" borderId="37" xfId="247" applyFont="1" applyBorder="1" applyAlignment="1">
      <alignment horizontal="center" vertical="center" textRotation="90" shrinkToFit="1"/>
    </xf>
    <xf numFmtId="49" fontId="39" fillId="0" borderId="10" xfId="0" applyNumberFormat="1" applyFont="1" applyBorder="1" applyAlignment="1">
      <alignment horizontal="center" vertical="center" wrapText="1"/>
    </xf>
    <xf numFmtId="49" fontId="39" fillId="0" borderId="11" xfId="0" applyNumberFormat="1" applyFont="1" applyBorder="1" applyAlignment="1">
      <alignment horizontal="center" vertical="center" wrapText="1"/>
    </xf>
    <xf numFmtId="0" fontId="28" fillId="0" borderId="19" xfId="0" applyFont="1" applyBorder="1" applyAlignment="1">
      <alignment horizontal="left" vertical="center" wrapText="1" shrinkToFit="1"/>
    </xf>
    <xf numFmtId="0" fontId="28" fillId="0" borderId="23" xfId="0" applyFont="1" applyBorder="1" applyAlignment="1">
      <alignment horizontal="left" vertical="center" wrapText="1" shrinkToFit="1"/>
    </xf>
    <xf numFmtId="0" fontId="3" fillId="0" borderId="89" xfId="0" applyFont="1" applyBorder="1" applyAlignment="1">
      <alignment horizontal="center" vertical="center" textRotation="90" shrinkToFit="1"/>
    </xf>
    <xf numFmtId="49" fontId="3" fillId="0" borderId="63" xfId="0" applyNumberFormat="1" applyFont="1" applyBorder="1" applyAlignment="1">
      <alignment horizontal="center" vertical="center" wrapText="1"/>
    </xf>
    <xf numFmtId="49" fontId="3" fillId="0" borderId="90" xfId="0" applyNumberFormat="1" applyFont="1" applyBorder="1" applyAlignment="1">
      <alignment horizontal="center" vertical="center" wrapText="1"/>
    </xf>
    <xf numFmtId="0" fontId="28" fillId="0" borderId="88" xfId="0" applyFont="1" applyBorder="1" applyAlignment="1">
      <alignment horizontal="left" vertical="center" wrapText="1" shrinkToFit="1"/>
    </xf>
    <xf numFmtId="0" fontId="3" fillId="0" borderId="91" xfId="0" applyFont="1" applyBorder="1" applyAlignment="1">
      <alignment horizontal="left" vertical="center" wrapText="1" shrinkToFit="1"/>
    </xf>
    <xf numFmtId="0" fontId="36" fillId="0" borderId="81" xfId="0" applyFont="1" applyBorder="1" applyAlignment="1">
      <alignment horizontal="center" vertical="center" wrapText="1"/>
    </xf>
    <xf numFmtId="0" fontId="36" fillId="0" borderId="85" xfId="0" applyFont="1" applyBorder="1" applyAlignment="1">
      <alignment horizontal="center" vertical="center" wrapText="1"/>
    </xf>
    <xf numFmtId="0" fontId="3" fillId="0" borderId="38" xfId="0" applyFont="1" applyBorder="1" applyAlignment="1">
      <alignment horizontal="center" vertical="center" textRotation="90" wrapText="1"/>
    </xf>
    <xf numFmtId="0" fontId="3" fillId="0" borderId="36" xfId="0" applyFont="1" applyBorder="1" applyAlignment="1">
      <alignment horizontal="center" vertical="center" textRotation="90" wrapText="1"/>
    </xf>
    <xf numFmtId="0" fontId="26" fillId="18" borderId="15" xfId="0" applyFont="1" applyFill="1" applyBorder="1" applyAlignment="1">
      <alignment horizontal="center" vertical="center" wrapText="1" shrinkToFit="1"/>
    </xf>
    <xf numFmtId="0" fontId="26" fillId="18" borderId="35" xfId="0" applyFont="1" applyFill="1" applyBorder="1" applyAlignment="1">
      <alignment horizontal="center" vertical="center" wrapText="1" shrinkToFit="1"/>
    </xf>
    <xf numFmtId="0" fontId="3" fillId="0" borderId="18" xfId="247" applyFont="1" applyBorder="1" applyAlignment="1">
      <alignment horizontal="center" vertical="center" textRotation="90" shrinkToFit="1"/>
    </xf>
    <xf numFmtId="0" fontId="3" fillId="0" borderId="22" xfId="247" applyFont="1" applyBorder="1" applyAlignment="1">
      <alignment horizontal="center" vertical="center" textRotation="90" shrinkToFit="1"/>
    </xf>
    <xf numFmtId="49" fontId="3" fillId="0" borderId="91" xfId="0" applyNumberFormat="1" applyFont="1" applyBorder="1" applyAlignment="1">
      <alignment horizontal="center" vertical="center" wrapText="1"/>
    </xf>
    <xf numFmtId="0" fontId="3" fillId="0" borderId="54" xfId="0" applyFont="1" applyBorder="1" applyAlignment="1">
      <alignment horizontal="center" vertical="center" textRotation="90" shrinkToFit="1"/>
    </xf>
    <xf numFmtId="0" fontId="3" fillId="0" borderId="68" xfId="0" applyFont="1" applyBorder="1" applyAlignment="1">
      <alignment horizontal="center" vertical="center" textRotation="90" shrinkToFit="1"/>
    </xf>
  </cellXfs>
  <cellStyles count="376">
    <cellStyle name="20% - アクセント 1 2" xfId="1" xr:uid="{00000000-0005-0000-0000-000000000000}"/>
    <cellStyle name="20% - アクセント 1 3" xfId="2" xr:uid="{00000000-0005-0000-0000-000001000000}"/>
    <cellStyle name="20% - アクセント 1 4" xfId="3" xr:uid="{00000000-0005-0000-0000-000002000000}"/>
    <cellStyle name="20% - アクセント 1 5" xfId="4" xr:uid="{00000000-0005-0000-0000-000003000000}"/>
    <cellStyle name="20% - アクセント 1 6" xfId="5" xr:uid="{00000000-0005-0000-0000-000004000000}"/>
    <cellStyle name="20% - アクセント 1 7" xfId="6" xr:uid="{00000000-0005-0000-0000-000005000000}"/>
    <cellStyle name="20% - アクセント 2 2" xfId="7" xr:uid="{00000000-0005-0000-0000-000006000000}"/>
    <cellStyle name="20% - アクセント 2 3" xfId="8" xr:uid="{00000000-0005-0000-0000-000007000000}"/>
    <cellStyle name="20% - アクセント 2 4" xfId="9" xr:uid="{00000000-0005-0000-0000-000008000000}"/>
    <cellStyle name="20% - アクセント 2 5" xfId="10" xr:uid="{00000000-0005-0000-0000-000009000000}"/>
    <cellStyle name="20% - アクセント 2 6" xfId="11" xr:uid="{00000000-0005-0000-0000-00000A000000}"/>
    <cellStyle name="20% - アクセント 2 7" xfId="12" xr:uid="{00000000-0005-0000-0000-00000B000000}"/>
    <cellStyle name="20% - アクセント 3 2" xfId="13" xr:uid="{00000000-0005-0000-0000-00000C000000}"/>
    <cellStyle name="20% - アクセント 3 3" xfId="14" xr:uid="{00000000-0005-0000-0000-00000D000000}"/>
    <cellStyle name="20% - アクセント 3 4" xfId="15" xr:uid="{00000000-0005-0000-0000-00000E000000}"/>
    <cellStyle name="20% - アクセント 3 5" xfId="16" xr:uid="{00000000-0005-0000-0000-00000F000000}"/>
    <cellStyle name="20% - アクセント 3 6" xfId="17" xr:uid="{00000000-0005-0000-0000-000010000000}"/>
    <cellStyle name="20% - アクセント 3 7" xfId="18" xr:uid="{00000000-0005-0000-0000-000011000000}"/>
    <cellStyle name="20% - アクセント 4 2" xfId="19" xr:uid="{00000000-0005-0000-0000-000012000000}"/>
    <cellStyle name="20% - アクセント 4 3" xfId="20" xr:uid="{00000000-0005-0000-0000-000013000000}"/>
    <cellStyle name="20% - アクセント 4 4" xfId="21" xr:uid="{00000000-0005-0000-0000-000014000000}"/>
    <cellStyle name="20% - アクセント 4 5" xfId="22" xr:uid="{00000000-0005-0000-0000-000015000000}"/>
    <cellStyle name="20% - アクセント 4 6" xfId="23" xr:uid="{00000000-0005-0000-0000-000016000000}"/>
    <cellStyle name="20% - アクセント 4 7" xfId="24" xr:uid="{00000000-0005-0000-0000-000017000000}"/>
    <cellStyle name="20% - アクセント 5 2" xfId="25" xr:uid="{00000000-0005-0000-0000-000018000000}"/>
    <cellStyle name="20% - アクセント 5 3" xfId="26" xr:uid="{00000000-0005-0000-0000-000019000000}"/>
    <cellStyle name="20% - アクセント 5 4" xfId="27" xr:uid="{00000000-0005-0000-0000-00001A000000}"/>
    <cellStyle name="20% - アクセント 5 5" xfId="28" xr:uid="{00000000-0005-0000-0000-00001B000000}"/>
    <cellStyle name="20% - アクセント 5 6" xfId="29" xr:uid="{00000000-0005-0000-0000-00001C000000}"/>
    <cellStyle name="20% - アクセント 5 7" xfId="30" xr:uid="{00000000-0005-0000-0000-00001D000000}"/>
    <cellStyle name="20% - アクセント 6 2" xfId="31" xr:uid="{00000000-0005-0000-0000-00001E000000}"/>
    <cellStyle name="20% - アクセント 6 3" xfId="32" xr:uid="{00000000-0005-0000-0000-00001F000000}"/>
    <cellStyle name="20% - アクセント 6 4" xfId="33" xr:uid="{00000000-0005-0000-0000-000020000000}"/>
    <cellStyle name="20% - アクセント 6 5" xfId="34" xr:uid="{00000000-0005-0000-0000-000021000000}"/>
    <cellStyle name="20% - アクセント 6 6" xfId="35" xr:uid="{00000000-0005-0000-0000-000022000000}"/>
    <cellStyle name="20% - アクセント 6 7" xfId="36" xr:uid="{00000000-0005-0000-0000-000023000000}"/>
    <cellStyle name="40% - アクセント 1 2" xfId="37" xr:uid="{00000000-0005-0000-0000-000024000000}"/>
    <cellStyle name="40% - アクセント 1 3" xfId="38" xr:uid="{00000000-0005-0000-0000-000025000000}"/>
    <cellStyle name="40% - アクセント 1 4" xfId="39" xr:uid="{00000000-0005-0000-0000-000026000000}"/>
    <cellStyle name="40% - アクセント 1 5" xfId="40" xr:uid="{00000000-0005-0000-0000-000027000000}"/>
    <cellStyle name="40% - アクセント 1 6" xfId="41" xr:uid="{00000000-0005-0000-0000-000028000000}"/>
    <cellStyle name="40% - アクセント 1 7" xfId="42" xr:uid="{00000000-0005-0000-0000-000029000000}"/>
    <cellStyle name="40% - アクセント 2 2" xfId="43" xr:uid="{00000000-0005-0000-0000-00002A000000}"/>
    <cellStyle name="40% - アクセント 2 3" xfId="44" xr:uid="{00000000-0005-0000-0000-00002B000000}"/>
    <cellStyle name="40% - アクセント 2 4" xfId="45" xr:uid="{00000000-0005-0000-0000-00002C000000}"/>
    <cellStyle name="40% - アクセント 2 5" xfId="46" xr:uid="{00000000-0005-0000-0000-00002D000000}"/>
    <cellStyle name="40% - アクセント 2 6" xfId="47" xr:uid="{00000000-0005-0000-0000-00002E000000}"/>
    <cellStyle name="40% - アクセント 2 7" xfId="48" xr:uid="{00000000-0005-0000-0000-00002F000000}"/>
    <cellStyle name="40% - アクセント 3 2" xfId="49" xr:uid="{00000000-0005-0000-0000-000030000000}"/>
    <cellStyle name="40% - アクセント 3 3" xfId="50" xr:uid="{00000000-0005-0000-0000-000031000000}"/>
    <cellStyle name="40% - アクセント 3 4" xfId="51" xr:uid="{00000000-0005-0000-0000-000032000000}"/>
    <cellStyle name="40% - アクセント 3 5" xfId="52" xr:uid="{00000000-0005-0000-0000-000033000000}"/>
    <cellStyle name="40% - アクセント 3 6" xfId="53" xr:uid="{00000000-0005-0000-0000-000034000000}"/>
    <cellStyle name="40% - アクセント 3 7" xfId="54" xr:uid="{00000000-0005-0000-0000-000035000000}"/>
    <cellStyle name="40% - アクセント 4 2" xfId="55" xr:uid="{00000000-0005-0000-0000-000036000000}"/>
    <cellStyle name="40% - アクセント 4 3" xfId="56" xr:uid="{00000000-0005-0000-0000-000037000000}"/>
    <cellStyle name="40% - アクセント 4 4" xfId="57" xr:uid="{00000000-0005-0000-0000-000038000000}"/>
    <cellStyle name="40% - アクセント 4 5" xfId="58" xr:uid="{00000000-0005-0000-0000-000039000000}"/>
    <cellStyle name="40% - アクセント 4 6" xfId="59" xr:uid="{00000000-0005-0000-0000-00003A000000}"/>
    <cellStyle name="40% - アクセント 4 7" xfId="60" xr:uid="{00000000-0005-0000-0000-00003B000000}"/>
    <cellStyle name="40% - アクセント 5 2" xfId="61" xr:uid="{00000000-0005-0000-0000-00003C000000}"/>
    <cellStyle name="40% - アクセント 5 3" xfId="62" xr:uid="{00000000-0005-0000-0000-00003D000000}"/>
    <cellStyle name="40% - アクセント 5 4" xfId="63" xr:uid="{00000000-0005-0000-0000-00003E000000}"/>
    <cellStyle name="40% - アクセント 5 5" xfId="64" xr:uid="{00000000-0005-0000-0000-00003F000000}"/>
    <cellStyle name="40% - アクセント 5 6" xfId="65" xr:uid="{00000000-0005-0000-0000-000040000000}"/>
    <cellStyle name="40% - アクセント 5 7" xfId="66" xr:uid="{00000000-0005-0000-0000-000041000000}"/>
    <cellStyle name="40% - アクセント 6 2" xfId="67" xr:uid="{00000000-0005-0000-0000-000042000000}"/>
    <cellStyle name="40% - アクセント 6 3" xfId="68" xr:uid="{00000000-0005-0000-0000-000043000000}"/>
    <cellStyle name="40% - アクセント 6 4" xfId="69" xr:uid="{00000000-0005-0000-0000-000044000000}"/>
    <cellStyle name="40% - アクセント 6 5" xfId="70" xr:uid="{00000000-0005-0000-0000-000045000000}"/>
    <cellStyle name="40% - アクセント 6 6" xfId="71" xr:uid="{00000000-0005-0000-0000-000046000000}"/>
    <cellStyle name="40% - アクセント 6 7" xfId="72" xr:uid="{00000000-0005-0000-0000-000047000000}"/>
    <cellStyle name="60% - アクセント 1 2" xfId="73" xr:uid="{00000000-0005-0000-0000-000048000000}"/>
    <cellStyle name="60% - アクセント 1 3" xfId="74" xr:uid="{00000000-0005-0000-0000-000049000000}"/>
    <cellStyle name="60% - アクセント 1 4" xfId="75" xr:uid="{00000000-0005-0000-0000-00004A000000}"/>
    <cellStyle name="60% - アクセント 1 5" xfId="76" xr:uid="{00000000-0005-0000-0000-00004B000000}"/>
    <cellStyle name="60% - アクセント 1 6" xfId="77" xr:uid="{00000000-0005-0000-0000-00004C000000}"/>
    <cellStyle name="60% - アクセント 1 7" xfId="78" xr:uid="{00000000-0005-0000-0000-00004D000000}"/>
    <cellStyle name="60% - アクセント 2 2" xfId="79" xr:uid="{00000000-0005-0000-0000-00004E000000}"/>
    <cellStyle name="60% - アクセント 2 3" xfId="80" xr:uid="{00000000-0005-0000-0000-00004F000000}"/>
    <cellStyle name="60% - アクセント 2 4" xfId="81" xr:uid="{00000000-0005-0000-0000-000050000000}"/>
    <cellStyle name="60% - アクセント 2 5" xfId="82" xr:uid="{00000000-0005-0000-0000-000051000000}"/>
    <cellStyle name="60% - アクセント 2 6" xfId="83" xr:uid="{00000000-0005-0000-0000-000052000000}"/>
    <cellStyle name="60% - アクセント 2 7" xfId="84" xr:uid="{00000000-0005-0000-0000-000053000000}"/>
    <cellStyle name="60% - アクセント 3 2" xfId="85" xr:uid="{00000000-0005-0000-0000-000054000000}"/>
    <cellStyle name="60% - アクセント 3 3" xfId="86" xr:uid="{00000000-0005-0000-0000-000055000000}"/>
    <cellStyle name="60% - アクセント 3 4" xfId="87" xr:uid="{00000000-0005-0000-0000-000056000000}"/>
    <cellStyle name="60% - アクセント 3 5" xfId="88" xr:uid="{00000000-0005-0000-0000-000057000000}"/>
    <cellStyle name="60% - アクセント 3 6" xfId="89" xr:uid="{00000000-0005-0000-0000-000058000000}"/>
    <cellStyle name="60% - アクセント 3 7" xfId="90" xr:uid="{00000000-0005-0000-0000-000059000000}"/>
    <cellStyle name="60% - アクセント 4 2" xfId="91" xr:uid="{00000000-0005-0000-0000-00005A000000}"/>
    <cellStyle name="60% - アクセント 4 3" xfId="92" xr:uid="{00000000-0005-0000-0000-00005B000000}"/>
    <cellStyle name="60% - アクセント 4 4" xfId="93" xr:uid="{00000000-0005-0000-0000-00005C000000}"/>
    <cellStyle name="60% - アクセント 4 5" xfId="94" xr:uid="{00000000-0005-0000-0000-00005D000000}"/>
    <cellStyle name="60% - アクセント 4 6" xfId="95" xr:uid="{00000000-0005-0000-0000-00005E000000}"/>
    <cellStyle name="60% - アクセント 4 7" xfId="96" xr:uid="{00000000-0005-0000-0000-00005F000000}"/>
    <cellStyle name="60% - アクセント 5 2" xfId="97" xr:uid="{00000000-0005-0000-0000-000060000000}"/>
    <cellStyle name="60% - アクセント 5 3" xfId="98" xr:uid="{00000000-0005-0000-0000-000061000000}"/>
    <cellStyle name="60% - アクセント 5 4" xfId="99" xr:uid="{00000000-0005-0000-0000-000062000000}"/>
    <cellStyle name="60% - アクセント 5 5" xfId="100" xr:uid="{00000000-0005-0000-0000-000063000000}"/>
    <cellStyle name="60% - アクセント 5 6" xfId="101" xr:uid="{00000000-0005-0000-0000-000064000000}"/>
    <cellStyle name="60% - アクセント 5 7" xfId="102" xr:uid="{00000000-0005-0000-0000-000065000000}"/>
    <cellStyle name="60% - アクセント 6 2" xfId="103" xr:uid="{00000000-0005-0000-0000-000066000000}"/>
    <cellStyle name="60% - アクセント 6 3" xfId="104" xr:uid="{00000000-0005-0000-0000-000067000000}"/>
    <cellStyle name="60% - アクセント 6 4" xfId="105" xr:uid="{00000000-0005-0000-0000-000068000000}"/>
    <cellStyle name="60% - アクセント 6 5" xfId="106" xr:uid="{00000000-0005-0000-0000-000069000000}"/>
    <cellStyle name="60% - アクセント 6 6" xfId="107" xr:uid="{00000000-0005-0000-0000-00006A000000}"/>
    <cellStyle name="60% - アクセント 6 7" xfId="108" xr:uid="{00000000-0005-0000-0000-00006B000000}"/>
    <cellStyle name="アクセント 1 2" xfId="109" xr:uid="{00000000-0005-0000-0000-00006C000000}"/>
    <cellStyle name="アクセント 1 3" xfId="110" xr:uid="{00000000-0005-0000-0000-00006D000000}"/>
    <cellStyle name="アクセント 1 4" xfId="111" xr:uid="{00000000-0005-0000-0000-00006E000000}"/>
    <cellStyle name="アクセント 1 5" xfId="112" xr:uid="{00000000-0005-0000-0000-00006F000000}"/>
    <cellStyle name="アクセント 1 6" xfId="113" xr:uid="{00000000-0005-0000-0000-000070000000}"/>
    <cellStyle name="アクセント 1 7" xfId="114" xr:uid="{00000000-0005-0000-0000-000071000000}"/>
    <cellStyle name="アクセント 2 2" xfId="115" xr:uid="{00000000-0005-0000-0000-000072000000}"/>
    <cellStyle name="アクセント 2 3" xfId="116" xr:uid="{00000000-0005-0000-0000-000073000000}"/>
    <cellStyle name="アクセント 2 4" xfId="117" xr:uid="{00000000-0005-0000-0000-000074000000}"/>
    <cellStyle name="アクセント 2 5" xfId="118" xr:uid="{00000000-0005-0000-0000-000075000000}"/>
    <cellStyle name="アクセント 2 6" xfId="119" xr:uid="{00000000-0005-0000-0000-000076000000}"/>
    <cellStyle name="アクセント 2 7" xfId="120" xr:uid="{00000000-0005-0000-0000-000077000000}"/>
    <cellStyle name="アクセント 3 2" xfId="121" xr:uid="{00000000-0005-0000-0000-000078000000}"/>
    <cellStyle name="アクセント 3 3" xfId="122" xr:uid="{00000000-0005-0000-0000-000079000000}"/>
    <cellStyle name="アクセント 3 4" xfId="123" xr:uid="{00000000-0005-0000-0000-00007A000000}"/>
    <cellStyle name="アクセント 3 5" xfId="124" xr:uid="{00000000-0005-0000-0000-00007B000000}"/>
    <cellStyle name="アクセント 3 6" xfId="125" xr:uid="{00000000-0005-0000-0000-00007C000000}"/>
    <cellStyle name="アクセント 3 7" xfId="126" xr:uid="{00000000-0005-0000-0000-00007D000000}"/>
    <cellStyle name="アクセント 4 2" xfId="127" xr:uid="{00000000-0005-0000-0000-00007E000000}"/>
    <cellStyle name="アクセント 4 3" xfId="128" xr:uid="{00000000-0005-0000-0000-00007F000000}"/>
    <cellStyle name="アクセント 4 4" xfId="129" xr:uid="{00000000-0005-0000-0000-000080000000}"/>
    <cellStyle name="アクセント 4 5" xfId="130" xr:uid="{00000000-0005-0000-0000-000081000000}"/>
    <cellStyle name="アクセント 4 6" xfId="131" xr:uid="{00000000-0005-0000-0000-000082000000}"/>
    <cellStyle name="アクセント 4 7" xfId="132" xr:uid="{00000000-0005-0000-0000-000083000000}"/>
    <cellStyle name="アクセント 5 2" xfId="133" xr:uid="{00000000-0005-0000-0000-000084000000}"/>
    <cellStyle name="アクセント 5 3" xfId="134" xr:uid="{00000000-0005-0000-0000-000085000000}"/>
    <cellStyle name="アクセント 5 4" xfId="135" xr:uid="{00000000-0005-0000-0000-000086000000}"/>
    <cellStyle name="アクセント 5 5" xfId="136" xr:uid="{00000000-0005-0000-0000-000087000000}"/>
    <cellStyle name="アクセント 5 6" xfId="137" xr:uid="{00000000-0005-0000-0000-000088000000}"/>
    <cellStyle name="アクセント 5 7" xfId="138" xr:uid="{00000000-0005-0000-0000-000089000000}"/>
    <cellStyle name="アクセント 6 2" xfId="139" xr:uid="{00000000-0005-0000-0000-00008A000000}"/>
    <cellStyle name="アクセント 6 3" xfId="140" xr:uid="{00000000-0005-0000-0000-00008B000000}"/>
    <cellStyle name="アクセント 6 4" xfId="141" xr:uid="{00000000-0005-0000-0000-00008C000000}"/>
    <cellStyle name="アクセント 6 5" xfId="142" xr:uid="{00000000-0005-0000-0000-00008D000000}"/>
    <cellStyle name="アクセント 6 6" xfId="143" xr:uid="{00000000-0005-0000-0000-00008E000000}"/>
    <cellStyle name="アクセント 6 7" xfId="144" xr:uid="{00000000-0005-0000-0000-00008F000000}"/>
    <cellStyle name="タイトル 2" xfId="145" xr:uid="{00000000-0005-0000-0000-000090000000}"/>
    <cellStyle name="タイトル 3" xfId="146" xr:uid="{00000000-0005-0000-0000-000091000000}"/>
    <cellStyle name="タイトル 4" xfId="147" xr:uid="{00000000-0005-0000-0000-000092000000}"/>
    <cellStyle name="タイトル 5" xfId="148" xr:uid="{00000000-0005-0000-0000-000093000000}"/>
    <cellStyle name="タイトル 6" xfId="149" xr:uid="{00000000-0005-0000-0000-000094000000}"/>
    <cellStyle name="タイトル 7" xfId="150" xr:uid="{00000000-0005-0000-0000-000095000000}"/>
    <cellStyle name="チェック セル 2" xfId="151" xr:uid="{00000000-0005-0000-0000-000096000000}"/>
    <cellStyle name="チェック セル 3" xfId="152" xr:uid="{00000000-0005-0000-0000-000097000000}"/>
    <cellStyle name="チェック セル 4" xfId="153" xr:uid="{00000000-0005-0000-0000-000098000000}"/>
    <cellStyle name="チェック セル 5" xfId="154" xr:uid="{00000000-0005-0000-0000-000099000000}"/>
    <cellStyle name="チェック セル 6" xfId="155" xr:uid="{00000000-0005-0000-0000-00009A000000}"/>
    <cellStyle name="チェック セル 7" xfId="156" xr:uid="{00000000-0005-0000-0000-00009B000000}"/>
    <cellStyle name="どちらでもない 2" xfId="157" xr:uid="{00000000-0005-0000-0000-00009C000000}"/>
    <cellStyle name="どちらでもない 3" xfId="158" xr:uid="{00000000-0005-0000-0000-00009D000000}"/>
    <cellStyle name="どちらでもない 4" xfId="159" xr:uid="{00000000-0005-0000-0000-00009E000000}"/>
    <cellStyle name="どちらでもない 5" xfId="160" xr:uid="{00000000-0005-0000-0000-00009F000000}"/>
    <cellStyle name="どちらでもない 6" xfId="161" xr:uid="{00000000-0005-0000-0000-0000A0000000}"/>
    <cellStyle name="どちらでもない 7" xfId="162" xr:uid="{00000000-0005-0000-0000-0000A1000000}"/>
    <cellStyle name="ハイパーリンク" xfId="248" builtinId="8"/>
    <cellStyle name="メモ 2" xfId="163" xr:uid="{00000000-0005-0000-0000-0000A3000000}"/>
    <cellStyle name="メモ 2 2" xfId="281" xr:uid="{A180BB95-0AF1-490A-AFF9-6D7975B08102}"/>
    <cellStyle name="メモ 2 2 2" xfId="333" xr:uid="{18395929-36C2-4F9E-914D-9BBAAA0061DA}"/>
    <cellStyle name="メモ 2 3" xfId="273" xr:uid="{B70403AC-94B6-4CFA-902D-9C8697D19919}"/>
    <cellStyle name="メモ 3" xfId="164" xr:uid="{00000000-0005-0000-0000-0000A4000000}"/>
    <cellStyle name="メモ 3 2" xfId="282" xr:uid="{5F21C011-EB9F-48E2-A137-1282F5967939}"/>
    <cellStyle name="メモ 3 2 2" xfId="334" xr:uid="{77B764C0-505A-41CF-91AC-2F1BDF428731}"/>
    <cellStyle name="メモ 3 3" xfId="272" xr:uid="{8DB27D58-5BFF-48AE-B14C-DE00BFD12EB0}"/>
    <cellStyle name="メモ 4" xfId="165" xr:uid="{00000000-0005-0000-0000-0000A5000000}"/>
    <cellStyle name="メモ 4 2" xfId="283" xr:uid="{91F0A4E9-25B9-494E-8C46-BBCC2726A0EF}"/>
    <cellStyle name="メモ 4 2 2" xfId="335" xr:uid="{0D0AA8E7-19FF-4D7B-A1BF-918E5948AA9C}"/>
    <cellStyle name="メモ 4 3" xfId="271" xr:uid="{E7C08B7D-FAE5-4088-B028-DB74F28D0FF6}"/>
    <cellStyle name="メモ 5" xfId="166" xr:uid="{00000000-0005-0000-0000-0000A6000000}"/>
    <cellStyle name="メモ 5 2" xfId="284" xr:uid="{2A2CDE27-ABC3-42F3-92D3-9DB7588C5682}"/>
    <cellStyle name="メモ 5 2 2" xfId="336" xr:uid="{DEC77EC3-394D-4569-BD55-A7403BA89663}"/>
    <cellStyle name="メモ 5 3" xfId="270" xr:uid="{1E1AAF7D-09E8-4990-8F85-B13257ACFE8B}"/>
    <cellStyle name="メモ 6" xfId="167" xr:uid="{00000000-0005-0000-0000-0000A7000000}"/>
    <cellStyle name="メモ 6 2" xfId="285" xr:uid="{2ACEBDBC-924D-458C-8DA6-C287EA197BB3}"/>
    <cellStyle name="メモ 6 2 2" xfId="337" xr:uid="{8043546E-7364-4A41-826E-BC48363670AB}"/>
    <cellStyle name="メモ 6 3" xfId="269" xr:uid="{BBFF8622-AD4A-4871-B70F-3E62C947AA2F}"/>
    <cellStyle name="メモ 7" xfId="168" xr:uid="{00000000-0005-0000-0000-0000A8000000}"/>
    <cellStyle name="メモ 7 2" xfId="286" xr:uid="{111FB460-1D4C-415D-8678-229DF9B4BAD9}"/>
    <cellStyle name="メモ 7 2 2" xfId="338" xr:uid="{07C46377-E164-4BA3-9902-897089396EE3}"/>
    <cellStyle name="メモ 7 3" xfId="268" xr:uid="{C5F51CED-39C1-48BF-AFD7-F2917FFA79C3}"/>
    <cellStyle name="リンク セル 2" xfId="169" xr:uid="{00000000-0005-0000-0000-0000A9000000}"/>
    <cellStyle name="リンク セル 3" xfId="170" xr:uid="{00000000-0005-0000-0000-0000AA000000}"/>
    <cellStyle name="リンク セル 4" xfId="171" xr:uid="{00000000-0005-0000-0000-0000AB000000}"/>
    <cellStyle name="リンク セル 5" xfId="172" xr:uid="{00000000-0005-0000-0000-0000AC000000}"/>
    <cellStyle name="リンク セル 6" xfId="173" xr:uid="{00000000-0005-0000-0000-0000AD000000}"/>
    <cellStyle name="リンク セル 7" xfId="174" xr:uid="{00000000-0005-0000-0000-0000AE000000}"/>
    <cellStyle name="悪い 2" xfId="175" xr:uid="{00000000-0005-0000-0000-0000B0000000}"/>
    <cellStyle name="悪い 3" xfId="176" xr:uid="{00000000-0005-0000-0000-0000B1000000}"/>
    <cellStyle name="悪い 4" xfId="177" xr:uid="{00000000-0005-0000-0000-0000B2000000}"/>
    <cellStyle name="悪い 5" xfId="178" xr:uid="{00000000-0005-0000-0000-0000B3000000}"/>
    <cellStyle name="悪い 6" xfId="179" xr:uid="{00000000-0005-0000-0000-0000B4000000}"/>
    <cellStyle name="悪い 7" xfId="180" xr:uid="{00000000-0005-0000-0000-0000B5000000}"/>
    <cellStyle name="計算 2" xfId="181" xr:uid="{00000000-0005-0000-0000-0000B6000000}"/>
    <cellStyle name="計算 2 2" xfId="287" xr:uid="{28716B6A-37EE-4034-A3FE-3EDCE1B3FDBC}"/>
    <cellStyle name="計算 2 2 2" xfId="339" xr:uid="{2616A2CF-6299-4737-A7F5-18F4477F284E}"/>
    <cellStyle name="計算 2 3" xfId="265" xr:uid="{913C739E-243F-47B3-8BC3-8FDD55BADCEB}"/>
    <cellStyle name="計算 3" xfId="182" xr:uid="{00000000-0005-0000-0000-0000B7000000}"/>
    <cellStyle name="計算 3 2" xfId="288" xr:uid="{83F03EAD-4616-4FFE-9C20-FCAAB519160B}"/>
    <cellStyle name="計算 3 2 2" xfId="340" xr:uid="{D07D9F05-AEEC-4A2A-A778-476AB9DF3D0B}"/>
    <cellStyle name="計算 3 3" xfId="264" xr:uid="{CF0017A8-0130-4662-BB13-30CE0DC52B74}"/>
    <cellStyle name="計算 4" xfId="183" xr:uid="{00000000-0005-0000-0000-0000B8000000}"/>
    <cellStyle name="計算 4 2" xfId="289" xr:uid="{0C47E2DB-67DE-4AAF-9636-5DB6ECA51C63}"/>
    <cellStyle name="計算 4 2 2" xfId="341" xr:uid="{E5C0263A-D446-43DB-B196-A72794F18257}"/>
    <cellStyle name="計算 4 3" xfId="263" xr:uid="{73C310F5-CD3F-4FA2-B969-8D082D50C423}"/>
    <cellStyle name="計算 5" xfId="184" xr:uid="{00000000-0005-0000-0000-0000B9000000}"/>
    <cellStyle name="計算 5 2" xfId="290" xr:uid="{83B81514-E64F-4B37-A3E0-C20690021BD5}"/>
    <cellStyle name="計算 5 2 2" xfId="342" xr:uid="{1C82744D-FA17-4EF5-AEC8-B80F30DBFBDE}"/>
    <cellStyle name="計算 5 3" xfId="262" xr:uid="{3C663D57-9B11-4F7E-A8F7-81E128F2A208}"/>
    <cellStyle name="計算 6" xfId="185" xr:uid="{00000000-0005-0000-0000-0000BA000000}"/>
    <cellStyle name="計算 6 2" xfId="291" xr:uid="{50E957AD-4021-41F5-8ED0-904F27108C44}"/>
    <cellStyle name="計算 6 2 2" xfId="343" xr:uid="{5ADC5647-035E-4B17-B901-C8E08A55FB83}"/>
    <cellStyle name="計算 6 3" xfId="261" xr:uid="{5C5E892E-3B26-40EC-8010-74B2C01C0E1F}"/>
    <cellStyle name="計算 7" xfId="186" xr:uid="{00000000-0005-0000-0000-0000BB000000}"/>
    <cellStyle name="計算 7 2" xfId="292" xr:uid="{442B3038-E854-44CF-90E7-5DBECCA3BA34}"/>
    <cellStyle name="計算 7 2 2" xfId="344" xr:uid="{64CF7F0E-D84F-4C2B-A158-CCBBBA7D1A87}"/>
    <cellStyle name="計算 7 3" xfId="260" xr:uid="{8417FF4F-8422-47F0-B5CD-B7B255CF6F4D}"/>
    <cellStyle name="警告文 2" xfId="187" xr:uid="{00000000-0005-0000-0000-0000BC000000}"/>
    <cellStyle name="警告文 3" xfId="188" xr:uid="{00000000-0005-0000-0000-0000BD000000}"/>
    <cellStyle name="警告文 4" xfId="189" xr:uid="{00000000-0005-0000-0000-0000BE000000}"/>
    <cellStyle name="警告文 5" xfId="190" xr:uid="{00000000-0005-0000-0000-0000BF000000}"/>
    <cellStyle name="警告文 6" xfId="191" xr:uid="{00000000-0005-0000-0000-0000C0000000}"/>
    <cellStyle name="警告文 7" xfId="192" xr:uid="{00000000-0005-0000-0000-0000C1000000}"/>
    <cellStyle name="桁区切り" xfId="375" builtinId="6"/>
    <cellStyle name="見出し 1 2" xfId="193" xr:uid="{00000000-0005-0000-0000-0000C2000000}"/>
    <cellStyle name="見出し 1 3" xfId="194" xr:uid="{00000000-0005-0000-0000-0000C3000000}"/>
    <cellStyle name="見出し 1 4" xfId="195" xr:uid="{00000000-0005-0000-0000-0000C4000000}"/>
    <cellStyle name="見出し 1 5" xfId="196" xr:uid="{00000000-0005-0000-0000-0000C5000000}"/>
    <cellStyle name="見出し 1 6" xfId="197" xr:uid="{00000000-0005-0000-0000-0000C6000000}"/>
    <cellStyle name="見出し 1 7" xfId="198" xr:uid="{00000000-0005-0000-0000-0000C7000000}"/>
    <cellStyle name="見出し 2 2" xfId="199" xr:uid="{00000000-0005-0000-0000-0000C8000000}"/>
    <cellStyle name="見出し 2 3" xfId="200" xr:uid="{00000000-0005-0000-0000-0000C9000000}"/>
    <cellStyle name="見出し 2 4" xfId="201" xr:uid="{00000000-0005-0000-0000-0000CA000000}"/>
    <cellStyle name="見出し 2 5" xfId="202" xr:uid="{00000000-0005-0000-0000-0000CB000000}"/>
    <cellStyle name="見出し 2 6" xfId="203" xr:uid="{00000000-0005-0000-0000-0000CC000000}"/>
    <cellStyle name="見出し 2 7" xfId="204" xr:uid="{00000000-0005-0000-0000-0000CD000000}"/>
    <cellStyle name="見出し 3 2" xfId="205" xr:uid="{00000000-0005-0000-0000-0000CE000000}"/>
    <cellStyle name="見出し 3 2 2" xfId="256" xr:uid="{6EACE8C7-6CB1-4B6D-8B99-9E947FD69160}"/>
    <cellStyle name="見出し 3 2 2 2" xfId="368" xr:uid="{B0AC6A73-CB6B-4BA1-B4D8-D4AAF2540C9F}"/>
    <cellStyle name="見出し 3 2 2 2 2" xfId="374" xr:uid="{16E455CC-98B8-4CCA-A2C4-EFA9B7852BF7}"/>
    <cellStyle name="見出し 3 2 2 3" xfId="274" xr:uid="{E0D1EFE3-BC77-441A-9181-9FD79A2DC6AA}"/>
    <cellStyle name="見出し 3 2 3" xfId="305" xr:uid="{CAEF7653-D8DC-4163-ACAB-BE96323434DB}"/>
    <cellStyle name="見出し 3 2 3 2" xfId="267" xr:uid="{A3B40FE6-E48B-4B63-91F3-0A1B4C14B6B2}"/>
    <cellStyle name="見出し 3 3" xfId="206" xr:uid="{00000000-0005-0000-0000-0000CF000000}"/>
    <cellStyle name="見出し 3 3 2" xfId="255" xr:uid="{46CB3D42-6997-47E0-B24F-68B9B9DA4448}"/>
    <cellStyle name="見出し 3 3 2 2" xfId="367" xr:uid="{005443A8-9763-4B92-AE9E-34DB8077CD02}"/>
    <cellStyle name="見出し 3 3 2 2 2" xfId="373" xr:uid="{EAEA0739-E3D3-4969-B0DC-07EC7BAFE68B}"/>
    <cellStyle name="見出し 3 3 2 3" xfId="275" xr:uid="{BDF903B5-58CA-46E9-ADAA-3E022ED63073}"/>
    <cellStyle name="見出し 3 3 3" xfId="306" xr:uid="{7C5F2D37-A06E-4E4D-B5B3-BA46DC0BDC55}"/>
    <cellStyle name="見出し 3 3 3 2" xfId="266" xr:uid="{0C097BE4-225F-4402-9B38-58FE79F87B86}"/>
    <cellStyle name="見出し 3 4" xfId="207" xr:uid="{00000000-0005-0000-0000-0000D0000000}"/>
    <cellStyle name="見出し 3 4 2" xfId="254" xr:uid="{C46717E5-5B0F-427F-A1EB-40CA25AEDC91}"/>
    <cellStyle name="見出し 3 4 2 2" xfId="366" xr:uid="{7D107EBE-F4D3-4E63-AAB5-656E14BBD458}"/>
    <cellStyle name="見出し 3 4 2 2 2" xfId="372" xr:uid="{975BE2A6-B701-4550-BD5E-5F971B86C317}"/>
    <cellStyle name="見出し 3 4 2 3" xfId="276" xr:uid="{FFC674EE-B17B-4E68-A0EB-634F436D55BB}"/>
    <cellStyle name="見出し 3 4 3" xfId="249" xr:uid="{76F113DD-B55C-4A6A-B8A3-178C33FED1E8}"/>
    <cellStyle name="見出し 3 4 3 2" xfId="280" xr:uid="{10C0F5B1-F971-46F8-9ADB-933B03A49506}"/>
    <cellStyle name="見出し 3 5" xfId="208" xr:uid="{00000000-0005-0000-0000-0000D1000000}"/>
    <cellStyle name="見出し 3 5 2" xfId="253" xr:uid="{DB296EF8-8563-4920-9283-39E2BC15E39F}"/>
    <cellStyle name="見出し 3 5 2 2" xfId="365" xr:uid="{851DFA3F-3BDD-4FCD-AA12-EA51EF4F05DB}"/>
    <cellStyle name="見出し 3 5 2 2 2" xfId="371" xr:uid="{825EFDAE-3B5A-424B-B26A-21C7D04CC9AA}"/>
    <cellStyle name="見出し 3 5 2 3" xfId="277" xr:uid="{A331EC57-F6DF-4E16-8511-6705BCB95E26}"/>
    <cellStyle name="見出し 3 5 3" xfId="315" xr:uid="{BC4C8AFA-D1DE-4F9A-987D-5CF7DB71ECDF}"/>
    <cellStyle name="見出し 3 5 3 2" xfId="257" xr:uid="{174515C7-7E89-42B5-8D50-1E3CDC6A589A}"/>
    <cellStyle name="見出し 3 6" xfId="209" xr:uid="{00000000-0005-0000-0000-0000D2000000}"/>
    <cellStyle name="見出し 3 6 2" xfId="252" xr:uid="{BFCEAA0A-E4F4-4A68-8DA1-9F56204DB9B7}"/>
    <cellStyle name="見出し 3 6 2 2" xfId="364" xr:uid="{85EC3204-995C-4B45-8BC2-2932DF52166D}"/>
    <cellStyle name="見出し 3 6 2 2 2" xfId="370" xr:uid="{F87F51A1-0E0A-4808-947E-1701EE4E0953}"/>
    <cellStyle name="見出し 3 6 2 3" xfId="278" xr:uid="{1D29A082-D753-4634-A4BA-B3E9B4BACA58}"/>
    <cellStyle name="見出し 3 6 3" xfId="313" xr:uid="{887BE1C7-BF7D-401A-A9D6-978FC817BAF6}"/>
    <cellStyle name="見出し 3 6 3 2" xfId="259" xr:uid="{98875810-709B-4EF3-A014-F47108FDA0DC}"/>
    <cellStyle name="見出し 3 7" xfId="210" xr:uid="{00000000-0005-0000-0000-0000D3000000}"/>
    <cellStyle name="見出し 3 7 2" xfId="251" xr:uid="{ED92F048-8C2A-420E-A40F-B78F5BD953CA}"/>
    <cellStyle name="見出し 3 7 2 2" xfId="363" xr:uid="{9C85D455-8559-4302-B6C0-1647E15EA4C9}"/>
    <cellStyle name="見出し 3 7 2 2 2" xfId="369" xr:uid="{9A3F6D82-A389-4FAC-8E88-A035A5715C77}"/>
    <cellStyle name="見出し 3 7 2 3" xfId="279" xr:uid="{70403895-8D3E-44B8-A8BC-EACEE2D28986}"/>
    <cellStyle name="見出し 3 7 3" xfId="314" xr:uid="{F1F982E0-5EC4-439F-918D-7BB8A293C68D}"/>
    <cellStyle name="見出し 3 7 3 2" xfId="258" xr:uid="{F2557FE6-839D-4419-A990-E9EC8A695781}"/>
    <cellStyle name="見出し 4 2" xfId="211" xr:uid="{00000000-0005-0000-0000-0000D4000000}"/>
    <cellStyle name="見出し 4 3" xfId="212" xr:uid="{00000000-0005-0000-0000-0000D5000000}"/>
    <cellStyle name="見出し 4 4" xfId="213" xr:uid="{00000000-0005-0000-0000-0000D6000000}"/>
    <cellStyle name="見出し 4 5" xfId="214" xr:uid="{00000000-0005-0000-0000-0000D7000000}"/>
    <cellStyle name="見出し 4 6" xfId="215" xr:uid="{00000000-0005-0000-0000-0000D8000000}"/>
    <cellStyle name="見出し 4 7" xfId="216" xr:uid="{00000000-0005-0000-0000-0000D9000000}"/>
    <cellStyle name="集計 2" xfId="217" xr:uid="{00000000-0005-0000-0000-0000DA000000}"/>
    <cellStyle name="集計 2 2" xfId="293" xr:uid="{A9847219-47A6-463A-9673-6413D6BE395D}"/>
    <cellStyle name="集計 2 2 2" xfId="345" xr:uid="{0630DB5D-F4C3-4233-9D6C-9143A395DDB5}"/>
    <cellStyle name="集計 2 3" xfId="250" xr:uid="{B13E0418-1D6B-441D-ABFA-D822D9BFB7F0}"/>
    <cellStyle name="集計 3" xfId="218" xr:uid="{00000000-0005-0000-0000-0000DB000000}"/>
    <cellStyle name="集計 3 2" xfId="294" xr:uid="{CB02BFBC-12E1-46E0-89D5-219D4193752D}"/>
    <cellStyle name="集計 3 2 2" xfId="346" xr:uid="{EF64DE80-70B4-46E2-8904-E48C9BD0C38D}"/>
    <cellStyle name="集計 3 3" xfId="316" xr:uid="{8BD34CB3-A4B2-4B11-8D68-8F5E14C04F67}"/>
    <cellStyle name="集計 4" xfId="219" xr:uid="{00000000-0005-0000-0000-0000DC000000}"/>
    <cellStyle name="集計 4 2" xfId="295" xr:uid="{1AE7FB7B-DA16-47FB-A3E8-4C6F46E56AE5}"/>
    <cellStyle name="集計 4 2 2" xfId="347" xr:uid="{FEFCEFF9-E495-42A9-8EB5-4B5C7BC6DB3D}"/>
    <cellStyle name="集計 4 3" xfId="317" xr:uid="{329FB510-24CF-4E42-AD1A-92FF586FF2C0}"/>
    <cellStyle name="集計 5" xfId="220" xr:uid="{00000000-0005-0000-0000-0000DD000000}"/>
    <cellStyle name="集計 5 2" xfId="296" xr:uid="{C65E0C64-82D8-47C5-9ED8-02A93AEC48D4}"/>
    <cellStyle name="集計 5 2 2" xfId="348" xr:uid="{9A537E65-9F6C-4880-88E8-3DD66D941B20}"/>
    <cellStyle name="集計 5 3" xfId="318" xr:uid="{97D8732C-A938-45B4-929D-E613E8C403D1}"/>
    <cellStyle name="集計 6" xfId="221" xr:uid="{00000000-0005-0000-0000-0000DE000000}"/>
    <cellStyle name="集計 6 2" xfId="297" xr:uid="{D44AED08-4369-4BF5-806B-F60072553EFF}"/>
    <cellStyle name="集計 6 2 2" xfId="349" xr:uid="{B9EA157F-86BE-4722-A68E-51D43B05D156}"/>
    <cellStyle name="集計 6 3" xfId="319" xr:uid="{D8D65991-CC1F-4AE0-8822-C78335EC0D2B}"/>
    <cellStyle name="集計 7" xfId="222" xr:uid="{00000000-0005-0000-0000-0000DF000000}"/>
    <cellStyle name="集計 7 2" xfId="298" xr:uid="{AC6AA928-E8F2-4F5F-94E0-582C90908496}"/>
    <cellStyle name="集計 7 2 2" xfId="350" xr:uid="{C7EBEED2-6092-4831-9611-9D2CFF651228}"/>
    <cellStyle name="集計 7 3" xfId="320" xr:uid="{F048B737-9132-4B55-ADEB-8A6966CF59E2}"/>
    <cellStyle name="出力 2" xfId="223" xr:uid="{00000000-0005-0000-0000-0000E0000000}"/>
    <cellStyle name="出力 2 2" xfId="299" xr:uid="{C71FA7FE-076F-4778-8AB6-4079297F0E99}"/>
    <cellStyle name="出力 2 2 2" xfId="351" xr:uid="{4A39EA29-1EEB-4F69-8A4A-E9BB5F47CCAE}"/>
    <cellStyle name="出力 2 3" xfId="321" xr:uid="{026926B0-CF7D-4C87-8F4C-54E4E7BDE7C8}"/>
    <cellStyle name="出力 3" xfId="224" xr:uid="{00000000-0005-0000-0000-0000E1000000}"/>
    <cellStyle name="出力 3 2" xfId="300" xr:uid="{DB621C81-BCF9-4431-B40B-3F2A9CE29110}"/>
    <cellStyle name="出力 3 2 2" xfId="352" xr:uid="{1FF6B062-C735-4519-9C00-5DBDEC5781CB}"/>
    <cellStyle name="出力 3 3" xfId="322" xr:uid="{43A9C58B-CE11-4A41-A243-83AE2DDD565A}"/>
    <cellStyle name="出力 4" xfId="225" xr:uid="{00000000-0005-0000-0000-0000E2000000}"/>
    <cellStyle name="出力 4 2" xfId="301" xr:uid="{94AA1AEF-6C3C-4E11-BEB6-A44E076B0B64}"/>
    <cellStyle name="出力 4 2 2" xfId="353" xr:uid="{8FB3A732-AC7D-4F51-9230-630ABFA756B5}"/>
    <cellStyle name="出力 4 3" xfId="323" xr:uid="{BBE0515D-8F3B-4387-BD03-AB2579E598D0}"/>
    <cellStyle name="出力 5" xfId="226" xr:uid="{00000000-0005-0000-0000-0000E3000000}"/>
    <cellStyle name="出力 5 2" xfId="302" xr:uid="{190531F6-8917-4519-8145-7FE099135299}"/>
    <cellStyle name="出力 5 2 2" xfId="354" xr:uid="{671F3D68-091B-4CF7-B4F1-A7A6B8852E11}"/>
    <cellStyle name="出力 5 3" xfId="324" xr:uid="{4C914572-889F-4A44-8FD6-98C16C41A751}"/>
    <cellStyle name="出力 6" xfId="227" xr:uid="{00000000-0005-0000-0000-0000E4000000}"/>
    <cellStyle name="出力 6 2" xfId="303" xr:uid="{3FBD054A-B945-4FDB-8BAE-47C009B645C3}"/>
    <cellStyle name="出力 6 2 2" xfId="355" xr:uid="{5864F852-CD6F-4FBA-9A84-CB8E55109167}"/>
    <cellStyle name="出力 6 3" xfId="325" xr:uid="{29BF103E-3316-4E23-958A-D7C0B3948FCE}"/>
    <cellStyle name="出力 7" xfId="228" xr:uid="{00000000-0005-0000-0000-0000E5000000}"/>
    <cellStyle name="出力 7 2" xfId="304" xr:uid="{653FD938-AE21-49A2-AFFF-CF7CFA0EC8CE}"/>
    <cellStyle name="出力 7 2 2" xfId="356" xr:uid="{D3E0EA0B-B2E2-4094-BF97-3DE93C22D199}"/>
    <cellStyle name="出力 7 3" xfId="326" xr:uid="{DED9DBF5-DC48-45EC-82BD-A5C2CCA8A2FE}"/>
    <cellStyle name="説明文 2" xfId="229" xr:uid="{00000000-0005-0000-0000-0000E6000000}"/>
    <cellStyle name="説明文 3" xfId="230" xr:uid="{00000000-0005-0000-0000-0000E7000000}"/>
    <cellStyle name="説明文 4" xfId="231" xr:uid="{00000000-0005-0000-0000-0000E8000000}"/>
    <cellStyle name="説明文 5" xfId="232" xr:uid="{00000000-0005-0000-0000-0000E9000000}"/>
    <cellStyle name="説明文 6" xfId="233" xr:uid="{00000000-0005-0000-0000-0000EA000000}"/>
    <cellStyle name="説明文 7" xfId="234" xr:uid="{00000000-0005-0000-0000-0000EB000000}"/>
    <cellStyle name="入力 2" xfId="235" xr:uid="{00000000-0005-0000-0000-0000EC000000}"/>
    <cellStyle name="入力 2 2" xfId="307" xr:uid="{B409F1C9-D509-4A50-A29B-31495E33209D}"/>
    <cellStyle name="入力 2 2 2" xfId="357" xr:uid="{3DC580AB-5B7A-4003-B910-9F48D42F7B90}"/>
    <cellStyle name="入力 2 3" xfId="327" xr:uid="{62E03722-2BD4-468E-8C7F-77972E6CCDD9}"/>
    <cellStyle name="入力 3" xfId="236" xr:uid="{00000000-0005-0000-0000-0000ED000000}"/>
    <cellStyle name="入力 3 2" xfId="308" xr:uid="{5D96A9A5-8315-495F-BB9C-45D041A71FA6}"/>
    <cellStyle name="入力 3 2 2" xfId="358" xr:uid="{802AD688-17F9-4882-9E50-C3658E59EDDC}"/>
    <cellStyle name="入力 3 3" xfId="328" xr:uid="{A58D7D17-BC68-4A77-9479-010581A2C362}"/>
    <cellStyle name="入力 4" xfId="237" xr:uid="{00000000-0005-0000-0000-0000EE000000}"/>
    <cellStyle name="入力 4 2" xfId="309" xr:uid="{961493F9-6096-4DA4-AA85-4BB6ECF386F6}"/>
    <cellStyle name="入力 4 2 2" xfId="359" xr:uid="{32C7ECBF-6F7E-4A60-A70D-C6C02A2FEA75}"/>
    <cellStyle name="入力 4 3" xfId="329" xr:uid="{0438F3CF-4B1F-4CD6-8EA8-51CA73B64599}"/>
    <cellStyle name="入力 5" xfId="238" xr:uid="{00000000-0005-0000-0000-0000EF000000}"/>
    <cellStyle name="入力 5 2" xfId="310" xr:uid="{428738FB-44F9-4C09-B48A-12FBDFAF8B88}"/>
    <cellStyle name="入力 5 2 2" xfId="360" xr:uid="{4BDDC115-AE68-4EAA-9EA1-5B376AEB1482}"/>
    <cellStyle name="入力 5 3" xfId="330" xr:uid="{1120C082-3F3D-4298-B67F-0C298923CCF8}"/>
    <cellStyle name="入力 6" xfId="239" xr:uid="{00000000-0005-0000-0000-0000F0000000}"/>
    <cellStyle name="入力 6 2" xfId="311" xr:uid="{9F703DF2-E040-44C7-B111-BAFD77F26FB2}"/>
    <cellStyle name="入力 6 2 2" xfId="361" xr:uid="{54913586-15FE-4623-AAA1-305B822F191E}"/>
    <cellStyle name="入力 6 3" xfId="331" xr:uid="{36ABF1ED-83AE-4D7F-B31C-880010D493F2}"/>
    <cellStyle name="入力 7" xfId="240" xr:uid="{00000000-0005-0000-0000-0000F1000000}"/>
    <cellStyle name="入力 7 2" xfId="312" xr:uid="{269F08A5-20B3-4DAC-9D0B-BDFA9642EC4C}"/>
    <cellStyle name="入力 7 2 2" xfId="362" xr:uid="{758C9361-0855-4EBA-8BE5-4EFB47D1FDD1}"/>
    <cellStyle name="入力 7 3" xfId="332" xr:uid="{516DC958-A7D5-4F86-A72B-41CA9F73008E}"/>
    <cellStyle name="標準" xfId="0" builtinId="0"/>
    <cellStyle name="標準 2 2" xfId="247" xr:uid="{00000000-0005-0000-0000-0000F3000000}"/>
    <cellStyle name="良い 2" xfId="241" xr:uid="{00000000-0005-0000-0000-0000F4000000}"/>
    <cellStyle name="良い 3" xfId="242" xr:uid="{00000000-0005-0000-0000-0000F5000000}"/>
    <cellStyle name="良い 4" xfId="243" xr:uid="{00000000-0005-0000-0000-0000F6000000}"/>
    <cellStyle name="良い 5" xfId="244" xr:uid="{00000000-0005-0000-0000-0000F7000000}"/>
    <cellStyle name="良い 6" xfId="245" xr:uid="{00000000-0005-0000-0000-0000F8000000}"/>
    <cellStyle name="良い 7" xfId="246" xr:uid="{00000000-0005-0000-0000-0000F9000000}"/>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colors>
    <mruColors>
      <color rgb="FFFC9804"/>
      <color rgb="FFFFFFCC"/>
      <color rgb="FFFF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0_2">
  <dgm:title val=""/>
  <dgm:desc val=""/>
  <dgm:catLst>
    <dgm:cat type="mainScheme" pri="10200"/>
  </dgm:catLst>
  <dgm:styleLbl name="node0">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align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ln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vennNode1">
    <dgm:fillClrLst meth="repeat">
      <a:schemeClr val="lt1">
        <a:alpha val="50000"/>
      </a:schemeClr>
    </dgm:fillClrLst>
    <dgm:linClrLst meth="repeat">
      <a:schemeClr val="dk2">
        <a:shade val="80000"/>
      </a:schemeClr>
    </dgm:linClrLst>
    <dgm:effectClrLst/>
    <dgm:txLinClrLst/>
    <dgm:txFillClrLst/>
    <dgm:txEffectClrLst/>
  </dgm:styleLbl>
  <dgm:styleLbl name="node2">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3">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4">
    <dgm:fillClrLst meth="repeat">
      <a:schemeClr val="lt1"/>
    </dgm:fillClrLst>
    <dgm:linClrLst meth="repeat">
      <a:schemeClr val="dk2">
        <a:shade val="80000"/>
      </a:schemeClr>
    </dgm:linClrLst>
    <dgm:effectClrLst/>
    <dgm:txLinClrLst/>
    <dgm:txFillClrLst meth="repeat">
      <a:schemeClr val="dk2"/>
    </dgm:txFillClrLst>
    <dgm:txEffectClrLst/>
  </dgm:styleLbl>
  <dgm:styleLbl name="fg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align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bg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sibTrans1D1">
    <dgm:fillClrLst meth="repeat">
      <a:schemeClr val="dk2"/>
    </dgm:fillClrLst>
    <dgm:linClrLst meth="repeat">
      <a:schemeClr val="dk2"/>
    </dgm:linClrLst>
    <dgm:effectClrLst/>
    <dgm:txLinClrLst/>
    <dgm:txFillClrLst meth="repeat">
      <a:schemeClr val="tx1"/>
    </dgm:txFillClrLst>
    <dgm:txEffectClrLst/>
  </dgm:styleLbl>
  <dgm:styleLbl name="callout">
    <dgm:fillClrLst meth="repeat">
      <a:schemeClr val="dk2"/>
    </dgm:fillClrLst>
    <dgm:linClrLst meth="repeat">
      <a:schemeClr val="dk2"/>
    </dgm:linClrLst>
    <dgm:effectClrLst/>
    <dgm:txLinClrLst/>
    <dgm:txFillClrLst meth="repeat">
      <a:schemeClr val="tx1"/>
    </dgm:txFillClrLst>
    <dgm:txEffectClrLst/>
  </dgm:styleLbl>
  <dgm:styleLbl name="asst0">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1">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2">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3">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4">
    <dgm:fillClrLst meth="repeat">
      <a:schemeClr val="lt1"/>
    </dgm:fillClrLst>
    <dgm:linClrLst meth="repeat">
      <a:schemeClr val="dk2">
        <a:shade val="80000"/>
      </a:schemeClr>
    </dgm:linClrLst>
    <dgm:effectClrLst/>
    <dgm:txLinClrLst/>
    <dgm:txFillClrLst meth="repeat">
      <a:schemeClr val="dk2"/>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dgm:txEffectClrLst/>
  </dgm:styleLbl>
  <dgm:styleLbl name="parChTrans2D2">
    <dgm:fillClrLst meth="repeat">
      <a:schemeClr val="dk2"/>
    </dgm:fillClrLst>
    <dgm:linClrLst meth="repeat">
      <a:schemeClr val="dk2"/>
    </dgm:linClrLst>
    <dgm:effectClrLst/>
    <dgm:txLinClrLst/>
    <dgm:txFillClrLst/>
    <dgm:txEffectClrLst/>
  </dgm:styleLbl>
  <dgm:styleLbl name="parChTrans2D3">
    <dgm:fillClrLst meth="repeat">
      <a:schemeClr val="dk2"/>
    </dgm:fillClrLst>
    <dgm:linClrLst meth="repeat">
      <a:schemeClr val="dk2"/>
    </dgm:linClrLst>
    <dgm:effectClrLst/>
    <dgm:txLinClrLst/>
    <dgm:txFillClrLst/>
    <dgm:txEffectClrLst/>
  </dgm:styleLbl>
  <dgm:styleLbl name="parChTrans2D4">
    <dgm:fillClrLst meth="repeat">
      <a:schemeClr val="dk2"/>
    </dgm:fillClrLst>
    <dgm:linClrLst meth="repeat">
      <a:schemeClr val="dk2"/>
    </dgm:linClrLst>
    <dgm:effectClrLst/>
    <dgm:txLinClrLst/>
    <dgm:txFillClrLst meth="repeat">
      <a:schemeClr val="lt1"/>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conF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align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trAlignAcc1">
    <dgm:fillClrLst meth="repeat">
      <a:schemeClr val="dk2">
        <a:alpha val="40000"/>
        <a:tint val="40000"/>
      </a:schemeClr>
    </dgm:fillClrLst>
    <dgm:linClrLst meth="repeat">
      <a:schemeClr val="dk2"/>
    </dgm:linClrLst>
    <dgm:effectClrLst/>
    <dgm:txLinClrLst/>
    <dgm:txFillClrLst meth="repeat">
      <a:schemeClr val="dk2"/>
    </dgm:txFillClrLst>
    <dgm:txEffectClrLst/>
  </dgm:styleLbl>
  <dgm:styleLbl name="b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solidFgAcc1">
    <dgm:fillClrLst meth="repeat">
      <a:schemeClr val="lt1"/>
    </dgm:fillClrLst>
    <dgm:linClrLst meth="repeat">
      <a:schemeClr val="dk2"/>
    </dgm:linClrLst>
    <dgm:effectClrLst/>
    <dgm:txLinClrLst/>
    <dgm:txFillClrLst meth="repeat">
      <a:schemeClr val="dk2"/>
    </dgm:txFillClrLst>
    <dgm:txEffectClrLst/>
  </dgm:styleLbl>
  <dgm:styleLbl name="solidAlignAcc1">
    <dgm:fillClrLst meth="repeat">
      <a:schemeClr val="lt1"/>
    </dgm:fillClrLst>
    <dgm:linClrLst meth="repeat">
      <a:schemeClr val="dk2"/>
    </dgm:linClrLst>
    <dgm:effectClrLst/>
    <dgm:txLinClrLst/>
    <dgm:txFillClrLst meth="repeat">
      <a:schemeClr val="dk2"/>
    </dgm:txFillClrLst>
    <dgm:txEffectClrLst/>
  </dgm:styleLbl>
  <dgm:styleLbl name="solidBgAcc1">
    <dgm:fillClrLst meth="repeat">
      <a:schemeClr val="lt1"/>
    </dgm:fillClrLst>
    <dgm:linClrLst meth="repeat">
      <a:schemeClr val="dk2"/>
    </dgm:linClrLst>
    <dgm:effectClrLst/>
    <dgm:txLinClrLst/>
    <dgm:txFillClrLst meth="repeat">
      <a:schemeClr val="dk2"/>
    </dgm:txFillClrLst>
    <dgm:txEffectClrLst/>
  </dgm:styleLbl>
  <dgm:styleLbl name="fg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align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bg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fgAcc0">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2">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3">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4">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2"/>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2"/>
    </dgm:txFillClrLst>
    <dgm:txEffectClrLst/>
  </dgm:styleLbl>
  <dgm:styleLbl name="fgShp">
    <dgm:fillClrLst meth="repeat">
      <a:schemeClr val="dk2">
        <a:tint val="60000"/>
      </a:schemeClr>
    </dgm:fillClrLst>
    <dgm:linClrLst meth="repeat">
      <a:schemeClr val="lt1"/>
    </dgm:linClrLst>
    <dgm:effectClrLst/>
    <dgm:txLinClrLst/>
    <dgm:txFillClrLst meth="repeat">
      <a:schemeClr val="dk2"/>
    </dgm:txFillClrLst>
    <dgm:txEffectClrLst/>
  </dgm:styleLbl>
  <dgm:styleLbl name="revTx">
    <dgm:fillClrLst meth="repeat">
      <a:schemeClr val="lt1">
        <a:alpha val="0"/>
      </a:schemeClr>
    </dgm:fillClrLst>
    <dgm:linClrLst meth="repeat">
      <a:schemeClr val="dk2">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A3A490D-AE2A-4C00-BE12-91D48DD65BD3}" type="doc">
      <dgm:prSet loTypeId="urn:microsoft.com/office/officeart/2005/8/layout/hList1" loCatId="list" qsTypeId="urn:microsoft.com/office/officeart/2005/8/quickstyle/simple1" qsCatId="simple" csTypeId="urn:microsoft.com/office/officeart/2005/8/colors/accent0_2" csCatId="mainScheme" phldr="1"/>
      <dgm:spPr/>
      <dgm:t>
        <a:bodyPr/>
        <a:lstStyle/>
        <a:p>
          <a:endParaRPr kumimoji="1" lang="ja-JP" altLang="en-US"/>
        </a:p>
      </dgm:t>
    </dgm:pt>
    <dgm:pt modelId="{C86B5853-33D3-46C1-A2B2-7FF66DA8C538}">
      <dgm:prSet phldrT="[テキスト]"/>
      <dgm:spPr/>
      <dgm:t>
        <a:bodyPr/>
        <a:lstStyle/>
        <a:p>
          <a:r>
            <a:rPr kumimoji="1" lang="en-US" altLang="ja-JP"/>
            <a:t>Study Period</a:t>
          </a:r>
          <a:endParaRPr kumimoji="1" lang="ja-JP" altLang="en-US"/>
        </a:p>
      </dgm:t>
    </dgm:pt>
    <dgm:pt modelId="{F4C1EFCB-B603-4338-8DFE-A5D23F7818C3}" type="parTrans" cxnId="{519F0A19-DEB4-447C-A0CA-4E4081D27867}">
      <dgm:prSet/>
      <dgm:spPr/>
      <dgm:t>
        <a:bodyPr/>
        <a:lstStyle/>
        <a:p>
          <a:endParaRPr kumimoji="1" lang="ja-JP" altLang="en-US"/>
        </a:p>
      </dgm:t>
    </dgm:pt>
    <dgm:pt modelId="{5B1315C5-4EC2-4477-8CEF-896893BC1AD0}" type="sibTrans" cxnId="{519F0A19-DEB4-447C-A0CA-4E4081D27867}">
      <dgm:prSet/>
      <dgm:spPr/>
      <dgm:t>
        <a:bodyPr/>
        <a:lstStyle/>
        <a:p>
          <a:endParaRPr kumimoji="1" lang="ja-JP" altLang="en-US"/>
        </a:p>
      </dgm:t>
    </dgm:pt>
    <dgm:pt modelId="{7C1F43F5-E281-41CC-A80F-BD49302F4774}">
      <dgm:prSet phldrT="[テキスト]"/>
      <dgm:spPr/>
      <dgm:t>
        <a:bodyPr/>
        <a:lstStyle/>
        <a:p>
          <a:r>
            <a:rPr kumimoji="1" lang="en-US" altLang="ja-JP"/>
            <a:t>1:  8:50 -</a:t>
          </a:r>
          <a:r>
            <a:rPr kumimoji="1" lang="ja-JP" altLang="en-US"/>
            <a:t> </a:t>
          </a:r>
          <a:r>
            <a:rPr kumimoji="1" lang="en-US" altLang="ja-JP"/>
            <a:t>10:20</a:t>
          </a:r>
          <a:r>
            <a:rPr kumimoji="1" lang="ja-JP" altLang="en-US"/>
            <a:t>　</a:t>
          </a:r>
        </a:p>
      </dgm:t>
    </dgm:pt>
    <dgm:pt modelId="{47D09148-02F0-4A57-B496-C9E62776AD28}" type="parTrans" cxnId="{164F9982-AEC2-4C2B-8A3F-A20710FAFCD0}">
      <dgm:prSet/>
      <dgm:spPr/>
      <dgm:t>
        <a:bodyPr/>
        <a:lstStyle/>
        <a:p>
          <a:endParaRPr kumimoji="1" lang="ja-JP" altLang="en-US"/>
        </a:p>
      </dgm:t>
    </dgm:pt>
    <dgm:pt modelId="{0B678C9B-EFAD-4082-9852-7962D55666F9}" type="sibTrans" cxnId="{164F9982-AEC2-4C2B-8A3F-A20710FAFCD0}">
      <dgm:prSet/>
      <dgm:spPr/>
      <dgm:t>
        <a:bodyPr/>
        <a:lstStyle/>
        <a:p>
          <a:endParaRPr kumimoji="1" lang="ja-JP" altLang="en-US"/>
        </a:p>
      </dgm:t>
    </dgm:pt>
    <dgm:pt modelId="{C51B7C27-DC79-44B9-8E41-FF24B55D2043}">
      <dgm:prSet phldrT="[テキスト]"/>
      <dgm:spPr/>
      <dgm:t>
        <a:bodyPr/>
        <a:lstStyle/>
        <a:p>
          <a:r>
            <a:rPr kumimoji="1" lang="en-US" altLang="ja-JP"/>
            <a:t>3: 13:30 - 15:00</a:t>
          </a:r>
          <a:endParaRPr kumimoji="1" lang="ja-JP" altLang="en-US"/>
        </a:p>
      </dgm:t>
    </dgm:pt>
    <dgm:pt modelId="{65F108D8-F25E-436A-BA90-F55891A07FB5}" type="parTrans" cxnId="{927D0437-637D-4A4F-92C4-2F822C26C502}">
      <dgm:prSet/>
      <dgm:spPr/>
      <dgm:t>
        <a:bodyPr/>
        <a:lstStyle/>
        <a:p>
          <a:endParaRPr kumimoji="1" lang="ja-JP" altLang="en-US"/>
        </a:p>
      </dgm:t>
    </dgm:pt>
    <dgm:pt modelId="{3323FD08-FBC7-43C3-83ED-FE948E47F1E1}" type="sibTrans" cxnId="{927D0437-637D-4A4F-92C4-2F822C26C502}">
      <dgm:prSet/>
      <dgm:spPr/>
      <dgm:t>
        <a:bodyPr/>
        <a:lstStyle/>
        <a:p>
          <a:endParaRPr kumimoji="1" lang="ja-JP" altLang="en-US"/>
        </a:p>
      </dgm:t>
    </dgm:pt>
    <dgm:pt modelId="{AA95B522-F7A9-4402-AAC2-4F480C171058}">
      <dgm:prSet phldrT="[テキスト]"/>
      <dgm:spPr/>
      <dgm:t>
        <a:bodyPr/>
        <a:lstStyle/>
        <a:p>
          <a:r>
            <a:rPr kumimoji="1" lang="en-US" altLang="ja-JP"/>
            <a:t>2: 10:30 - 12:00</a:t>
          </a:r>
          <a:endParaRPr kumimoji="1" lang="ja-JP" altLang="en-US"/>
        </a:p>
      </dgm:t>
    </dgm:pt>
    <dgm:pt modelId="{F7B4502F-743A-4F52-A518-B52D8178EBDF}" type="parTrans" cxnId="{BF7820F2-E58F-4783-B4C1-FF6530173AF5}">
      <dgm:prSet/>
      <dgm:spPr/>
      <dgm:t>
        <a:bodyPr/>
        <a:lstStyle/>
        <a:p>
          <a:endParaRPr kumimoji="1" lang="ja-JP" altLang="en-US"/>
        </a:p>
      </dgm:t>
    </dgm:pt>
    <dgm:pt modelId="{C6478A06-324F-4F6E-9609-9F6474C7F91F}" type="sibTrans" cxnId="{BF7820F2-E58F-4783-B4C1-FF6530173AF5}">
      <dgm:prSet/>
      <dgm:spPr/>
      <dgm:t>
        <a:bodyPr/>
        <a:lstStyle/>
        <a:p>
          <a:endParaRPr kumimoji="1" lang="ja-JP" altLang="en-US"/>
        </a:p>
      </dgm:t>
    </dgm:pt>
    <dgm:pt modelId="{9654B765-01D0-4343-8C82-CC9DE63AA1DF}">
      <dgm:prSet phldrT="[テキスト]"/>
      <dgm:spPr/>
      <dgm:t>
        <a:bodyPr/>
        <a:lstStyle/>
        <a:p>
          <a:r>
            <a:rPr kumimoji="1" lang="en-US" altLang="ja-JP"/>
            <a:t>4: 15:10 - 16:40</a:t>
          </a:r>
          <a:endParaRPr kumimoji="1" lang="ja-JP" altLang="en-US"/>
        </a:p>
      </dgm:t>
    </dgm:pt>
    <dgm:pt modelId="{C4D3D2B4-4711-4408-95A4-F707C0218789}" type="parTrans" cxnId="{C7152F54-F8B6-4967-A712-79252578F16F}">
      <dgm:prSet/>
      <dgm:spPr/>
      <dgm:t>
        <a:bodyPr/>
        <a:lstStyle/>
        <a:p>
          <a:endParaRPr kumimoji="1" lang="ja-JP" altLang="en-US"/>
        </a:p>
      </dgm:t>
    </dgm:pt>
    <dgm:pt modelId="{A3F72679-5C01-407D-8C7C-DF440A0FA1D1}" type="sibTrans" cxnId="{C7152F54-F8B6-4967-A712-79252578F16F}">
      <dgm:prSet/>
      <dgm:spPr/>
      <dgm:t>
        <a:bodyPr/>
        <a:lstStyle/>
        <a:p>
          <a:endParaRPr kumimoji="1" lang="ja-JP" altLang="en-US"/>
        </a:p>
      </dgm:t>
    </dgm:pt>
    <dgm:pt modelId="{A9500F77-373D-4A61-BECA-C661F09EACC0}">
      <dgm:prSet phldrT="[テキスト]"/>
      <dgm:spPr/>
      <dgm:t>
        <a:bodyPr/>
        <a:lstStyle/>
        <a:p>
          <a:r>
            <a:rPr kumimoji="1" lang="en-US" altLang="ja-JP"/>
            <a:t>5: 16:50 - 18:20</a:t>
          </a:r>
          <a:endParaRPr kumimoji="1" lang="ja-JP" altLang="en-US"/>
        </a:p>
      </dgm:t>
    </dgm:pt>
    <dgm:pt modelId="{CA5B84DF-A5E6-4FB4-9550-574A3DE0B38F}" type="parTrans" cxnId="{CE245918-3171-40BF-8D17-31115B45C181}">
      <dgm:prSet/>
      <dgm:spPr/>
      <dgm:t>
        <a:bodyPr/>
        <a:lstStyle/>
        <a:p>
          <a:endParaRPr kumimoji="1" lang="ja-JP" altLang="en-US"/>
        </a:p>
      </dgm:t>
    </dgm:pt>
    <dgm:pt modelId="{0B6BB932-F15A-481B-808E-F85154614222}" type="sibTrans" cxnId="{CE245918-3171-40BF-8D17-31115B45C181}">
      <dgm:prSet/>
      <dgm:spPr/>
      <dgm:t>
        <a:bodyPr/>
        <a:lstStyle/>
        <a:p>
          <a:endParaRPr kumimoji="1" lang="ja-JP" altLang="en-US"/>
        </a:p>
      </dgm:t>
    </dgm:pt>
    <dgm:pt modelId="{EA522638-E171-4EA7-8144-9415D87538A3}" type="pres">
      <dgm:prSet presAssocID="{FA3A490D-AE2A-4C00-BE12-91D48DD65BD3}" presName="Name0" presStyleCnt="0">
        <dgm:presLayoutVars>
          <dgm:dir/>
          <dgm:animLvl val="lvl"/>
          <dgm:resizeHandles val="exact"/>
        </dgm:presLayoutVars>
      </dgm:prSet>
      <dgm:spPr/>
    </dgm:pt>
    <dgm:pt modelId="{F5E580BC-DE23-4F4A-8524-AA88A20252D5}" type="pres">
      <dgm:prSet presAssocID="{C86B5853-33D3-46C1-A2B2-7FF66DA8C538}" presName="composite" presStyleCnt="0"/>
      <dgm:spPr/>
    </dgm:pt>
    <dgm:pt modelId="{73836D0F-0FB2-4856-9B7A-989F383EFF38}" type="pres">
      <dgm:prSet presAssocID="{C86B5853-33D3-46C1-A2B2-7FF66DA8C538}" presName="parTx" presStyleLbl="alignNode1" presStyleIdx="0" presStyleCnt="1">
        <dgm:presLayoutVars>
          <dgm:chMax val="0"/>
          <dgm:chPref val="0"/>
          <dgm:bulletEnabled val="1"/>
        </dgm:presLayoutVars>
      </dgm:prSet>
      <dgm:spPr/>
    </dgm:pt>
    <dgm:pt modelId="{5E970198-A70B-4C07-ADB9-1EF76AEBFDF2}" type="pres">
      <dgm:prSet presAssocID="{C86B5853-33D3-46C1-A2B2-7FF66DA8C538}" presName="desTx" presStyleLbl="alignAccFollowNode1" presStyleIdx="0" presStyleCnt="1">
        <dgm:presLayoutVars>
          <dgm:bulletEnabled val="1"/>
        </dgm:presLayoutVars>
      </dgm:prSet>
      <dgm:spPr/>
    </dgm:pt>
  </dgm:ptLst>
  <dgm:cxnLst>
    <dgm:cxn modelId="{4C43EC06-23C6-44CC-8D0A-86212C612122}" type="presOf" srcId="{9654B765-01D0-4343-8C82-CC9DE63AA1DF}" destId="{5E970198-A70B-4C07-ADB9-1EF76AEBFDF2}" srcOrd="0" destOrd="3" presId="urn:microsoft.com/office/officeart/2005/8/layout/hList1"/>
    <dgm:cxn modelId="{BDAB2C12-7AB8-48A9-BA14-41A3655FAC03}" type="presOf" srcId="{C86B5853-33D3-46C1-A2B2-7FF66DA8C538}" destId="{73836D0F-0FB2-4856-9B7A-989F383EFF38}" srcOrd="0" destOrd="0" presId="urn:microsoft.com/office/officeart/2005/8/layout/hList1"/>
    <dgm:cxn modelId="{CE245918-3171-40BF-8D17-31115B45C181}" srcId="{C86B5853-33D3-46C1-A2B2-7FF66DA8C538}" destId="{A9500F77-373D-4A61-BECA-C661F09EACC0}" srcOrd="4" destOrd="0" parTransId="{CA5B84DF-A5E6-4FB4-9550-574A3DE0B38F}" sibTransId="{0B6BB932-F15A-481B-808E-F85154614222}"/>
    <dgm:cxn modelId="{519F0A19-DEB4-447C-A0CA-4E4081D27867}" srcId="{FA3A490D-AE2A-4C00-BE12-91D48DD65BD3}" destId="{C86B5853-33D3-46C1-A2B2-7FF66DA8C538}" srcOrd="0" destOrd="0" parTransId="{F4C1EFCB-B603-4338-8DFE-A5D23F7818C3}" sibTransId="{5B1315C5-4EC2-4477-8CEF-896893BC1AD0}"/>
    <dgm:cxn modelId="{927D0437-637D-4A4F-92C4-2F822C26C502}" srcId="{C86B5853-33D3-46C1-A2B2-7FF66DA8C538}" destId="{C51B7C27-DC79-44B9-8E41-FF24B55D2043}" srcOrd="2" destOrd="0" parTransId="{65F108D8-F25E-436A-BA90-F55891A07FB5}" sibTransId="{3323FD08-FBC7-43C3-83ED-FE948E47F1E1}"/>
    <dgm:cxn modelId="{23838272-8626-4E86-9CD8-7F1EB8A7B35E}" type="presOf" srcId="{7C1F43F5-E281-41CC-A80F-BD49302F4774}" destId="{5E970198-A70B-4C07-ADB9-1EF76AEBFDF2}" srcOrd="0" destOrd="0" presId="urn:microsoft.com/office/officeart/2005/8/layout/hList1"/>
    <dgm:cxn modelId="{C7152F54-F8B6-4967-A712-79252578F16F}" srcId="{C86B5853-33D3-46C1-A2B2-7FF66DA8C538}" destId="{9654B765-01D0-4343-8C82-CC9DE63AA1DF}" srcOrd="3" destOrd="0" parTransId="{C4D3D2B4-4711-4408-95A4-F707C0218789}" sibTransId="{A3F72679-5C01-407D-8C7C-DF440A0FA1D1}"/>
    <dgm:cxn modelId="{164F9982-AEC2-4C2B-8A3F-A20710FAFCD0}" srcId="{C86B5853-33D3-46C1-A2B2-7FF66DA8C538}" destId="{7C1F43F5-E281-41CC-A80F-BD49302F4774}" srcOrd="0" destOrd="0" parTransId="{47D09148-02F0-4A57-B496-C9E62776AD28}" sibTransId="{0B678C9B-EFAD-4082-9852-7962D55666F9}"/>
    <dgm:cxn modelId="{F9ED7B86-5DE2-4520-AC9A-AC81A838FADD}" type="presOf" srcId="{A9500F77-373D-4A61-BECA-C661F09EACC0}" destId="{5E970198-A70B-4C07-ADB9-1EF76AEBFDF2}" srcOrd="0" destOrd="4" presId="urn:microsoft.com/office/officeart/2005/8/layout/hList1"/>
    <dgm:cxn modelId="{10D6A7A8-825A-4C07-8BE9-1DBB2F260EDF}" type="presOf" srcId="{FA3A490D-AE2A-4C00-BE12-91D48DD65BD3}" destId="{EA522638-E171-4EA7-8144-9415D87538A3}" srcOrd="0" destOrd="0" presId="urn:microsoft.com/office/officeart/2005/8/layout/hList1"/>
    <dgm:cxn modelId="{F1BF42E6-EF76-45D1-BDD8-D67D7C2DA3C9}" type="presOf" srcId="{C51B7C27-DC79-44B9-8E41-FF24B55D2043}" destId="{5E970198-A70B-4C07-ADB9-1EF76AEBFDF2}" srcOrd="0" destOrd="2" presId="urn:microsoft.com/office/officeart/2005/8/layout/hList1"/>
    <dgm:cxn modelId="{BF7820F2-E58F-4783-B4C1-FF6530173AF5}" srcId="{C86B5853-33D3-46C1-A2B2-7FF66DA8C538}" destId="{AA95B522-F7A9-4402-AAC2-4F480C171058}" srcOrd="1" destOrd="0" parTransId="{F7B4502F-743A-4F52-A518-B52D8178EBDF}" sibTransId="{C6478A06-324F-4F6E-9609-9F6474C7F91F}"/>
    <dgm:cxn modelId="{526C8AFC-5F20-42CC-BF0E-CFF24AF65126}" type="presOf" srcId="{AA95B522-F7A9-4402-AAC2-4F480C171058}" destId="{5E970198-A70B-4C07-ADB9-1EF76AEBFDF2}" srcOrd="0" destOrd="1" presId="urn:microsoft.com/office/officeart/2005/8/layout/hList1"/>
    <dgm:cxn modelId="{1B4158E5-F6D4-495D-89F5-4F5C10E5249B}" type="presParOf" srcId="{EA522638-E171-4EA7-8144-9415D87538A3}" destId="{F5E580BC-DE23-4F4A-8524-AA88A20252D5}" srcOrd="0" destOrd="0" presId="urn:microsoft.com/office/officeart/2005/8/layout/hList1"/>
    <dgm:cxn modelId="{C6DA9F1D-0FB4-4782-9A6F-4DB91DA65FDE}" type="presParOf" srcId="{F5E580BC-DE23-4F4A-8524-AA88A20252D5}" destId="{73836D0F-0FB2-4856-9B7A-989F383EFF38}" srcOrd="0" destOrd="0" presId="urn:microsoft.com/office/officeart/2005/8/layout/hList1"/>
    <dgm:cxn modelId="{F8E096ED-7E2A-4061-9CCC-2D69D3C75087}" type="presParOf" srcId="{F5E580BC-DE23-4F4A-8524-AA88A20252D5}" destId="{5E970198-A70B-4C07-ADB9-1EF76AEBFDF2}" srcOrd="1" destOrd="0" presId="urn:microsoft.com/office/officeart/2005/8/layout/hList1"/>
  </dgm:cxnLst>
  <dgm:bg/>
  <dgm:whole/>
  <dgm:extLst>
    <a:ext uri="http://schemas.microsoft.com/office/drawing/2008/diagram">
      <dsp:dataModelExt xmlns:dsp="http://schemas.microsoft.com/office/drawing/2008/diagram" relId="rId9"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836D0F-0FB2-4856-9B7A-989F383EFF38}">
      <dsp:nvSpPr>
        <dsp:cNvPr id="0" name=""/>
        <dsp:cNvSpPr/>
      </dsp:nvSpPr>
      <dsp:spPr>
        <a:xfrm>
          <a:off x="0" y="26379"/>
          <a:ext cx="1736725" cy="316800"/>
        </a:xfrm>
        <a:prstGeom prst="rect">
          <a:avLst/>
        </a:prstGeom>
        <a:solidFill>
          <a:schemeClr val="lt1">
            <a:hueOff val="0"/>
            <a:satOff val="0"/>
            <a:lumOff val="0"/>
            <a:alphaOff val="0"/>
          </a:schemeClr>
        </a:solidFill>
        <a:ln w="12700" cap="flat" cmpd="sng" algn="ctr">
          <a:solidFill>
            <a:schemeClr val="dk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44704" rIns="78232" bIns="44704" numCol="1" spcCol="1270" anchor="ctr" anchorCtr="0">
          <a:noAutofit/>
        </a:bodyPr>
        <a:lstStyle/>
        <a:p>
          <a:pPr marL="0" lvl="0" indent="0" algn="ctr" defTabSz="488950">
            <a:lnSpc>
              <a:spcPct val="90000"/>
            </a:lnSpc>
            <a:spcBef>
              <a:spcPct val="0"/>
            </a:spcBef>
            <a:spcAft>
              <a:spcPct val="35000"/>
            </a:spcAft>
            <a:buNone/>
          </a:pPr>
          <a:r>
            <a:rPr kumimoji="1" lang="en-US" altLang="ja-JP" sz="1100" kern="1200"/>
            <a:t>Study Period</a:t>
          </a:r>
          <a:endParaRPr kumimoji="1" lang="ja-JP" altLang="en-US" sz="1100" kern="1200"/>
        </a:p>
      </dsp:txBody>
      <dsp:txXfrm>
        <a:off x="0" y="26379"/>
        <a:ext cx="1736725" cy="316800"/>
      </dsp:txXfrm>
    </dsp:sp>
    <dsp:sp modelId="{5E970198-A70B-4C07-ADB9-1EF76AEBFDF2}">
      <dsp:nvSpPr>
        <dsp:cNvPr id="0" name=""/>
        <dsp:cNvSpPr/>
      </dsp:nvSpPr>
      <dsp:spPr>
        <a:xfrm>
          <a:off x="0" y="343179"/>
          <a:ext cx="1736725" cy="1087019"/>
        </a:xfrm>
        <a:prstGeom prst="rect">
          <a:avLst/>
        </a:prstGeom>
        <a:solidFill>
          <a:schemeClr val="lt1">
            <a:alpha val="90000"/>
            <a:tint val="40000"/>
            <a:hueOff val="0"/>
            <a:satOff val="0"/>
            <a:lumOff val="0"/>
            <a:alphaOff val="0"/>
          </a:schemeClr>
        </a:solidFill>
        <a:ln w="12700" cap="flat" cmpd="sng" algn="ctr">
          <a:solidFill>
            <a:schemeClr val="dk2">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58674" tIns="58674" rIns="78232" bIns="88011" numCol="1" spcCol="1270" anchor="t" anchorCtr="0">
          <a:noAutofit/>
        </a:bodyPr>
        <a:lstStyle/>
        <a:p>
          <a:pPr marL="57150" lvl="1" indent="-57150" algn="l" defTabSz="488950">
            <a:lnSpc>
              <a:spcPct val="90000"/>
            </a:lnSpc>
            <a:spcBef>
              <a:spcPct val="0"/>
            </a:spcBef>
            <a:spcAft>
              <a:spcPct val="15000"/>
            </a:spcAft>
            <a:buChar char="•"/>
          </a:pPr>
          <a:r>
            <a:rPr kumimoji="1" lang="en-US" altLang="ja-JP" sz="1100" kern="1200"/>
            <a:t>1:  8:50 -</a:t>
          </a:r>
          <a:r>
            <a:rPr kumimoji="1" lang="ja-JP" altLang="en-US" sz="1100" kern="1200"/>
            <a:t> </a:t>
          </a:r>
          <a:r>
            <a:rPr kumimoji="1" lang="en-US" altLang="ja-JP" sz="1100" kern="1200"/>
            <a:t>10:20</a:t>
          </a:r>
          <a:r>
            <a:rPr kumimoji="1" lang="ja-JP" altLang="en-US" sz="1100" kern="1200"/>
            <a:t>　</a:t>
          </a:r>
        </a:p>
        <a:p>
          <a:pPr marL="57150" lvl="1" indent="-57150" algn="l" defTabSz="488950">
            <a:lnSpc>
              <a:spcPct val="90000"/>
            </a:lnSpc>
            <a:spcBef>
              <a:spcPct val="0"/>
            </a:spcBef>
            <a:spcAft>
              <a:spcPct val="15000"/>
            </a:spcAft>
            <a:buChar char="•"/>
          </a:pPr>
          <a:r>
            <a:rPr kumimoji="1" lang="en-US" altLang="ja-JP" sz="1100" kern="1200"/>
            <a:t>2: 10:30 - 12:00</a:t>
          </a:r>
          <a:endParaRPr kumimoji="1" lang="ja-JP" altLang="en-US" sz="1100" kern="1200"/>
        </a:p>
        <a:p>
          <a:pPr marL="57150" lvl="1" indent="-57150" algn="l" defTabSz="488950">
            <a:lnSpc>
              <a:spcPct val="90000"/>
            </a:lnSpc>
            <a:spcBef>
              <a:spcPct val="0"/>
            </a:spcBef>
            <a:spcAft>
              <a:spcPct val="15000"/>
            </a:spcAft>
            <a:buChar char="•"/>
          </a:pPr>
          <a:r>
            <a:rPr kumimoji="1" lang="en-US" altLang="ja-JP" sz="1100" kern="1200"/>
            <a:t>3: 13:30 - 15:00</a:t>
          </a:r>
          <a:endParaRPr kumimoji="1" lang="ja-JP" altLang="en-US" sz="1100" kern="1200"/>
        </a:p>
        <a:p>
          <a:pPr marL="57150" lvl="1" indent="-57150" algn="l" defTabSz="488950">
            <a:lnSpc>
              <a:spcPct val="90000"/>
            </a:lnSpc>
            <a:spcBef>
              <a:spcPct val="0"/>
            </a:spcBef>
            <a:spcAft>
              <a:spcPct val="15000"/>
            </a:spcAft>
            <a:buChar char="•"/>
          </a:pPr>
          <a:r>
            <a:rPr kumimoji="1" lang="en-US" altLang="ja-JP" sz="1100" kern="1200"/>
            <a:t>4: 15:10 - 16:40</a:t>
          </a:r>
          <a:endParaRPr kumimoji="1" lang="ja-JP" altLang="en-US" sz="1100" kern="1200"/>
        </a:p>
        <a:p>
          <a:pPr marL="57150" lvl="1" indent="-57150" algn="l" defTabSz="488950">
            <a:lnSpc>
              <a:spcPct val="90000"/>
            </a:lnSpc>
            <a:spcBef>
              <a:spcPct val="0"/>
            </a:spcBef>
            <a:spcAft>
              <a:spcPct val="15000"/>
            </a:spcAft>
            <a:buChar char="•"/>
          </a:pPr>
          <a:r>
            <a:rPr kumimoji="1" lang="en-US" altLang="ja-JP" sz="1100" kern="1200"/>
            <a:t>5: 16:50 - 18:20</a:t>
          </a:r>
          <a:endParaRPr kumimoji="1" lang="ja-JP" altLang="en-US" sz="1100" kern="1200"/>
        </a:p>
      </dsp:txBody>
      <dsp:txXfrm>
        <a:off x="0" y="343179"/>
        <a:ext cx="1736725" cy="1087019"/>
      </dsp:txXfrm>
    </dsp:sp>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Colors" Target="../diagrams/colors1.xml"/><Relationship Id="rId3" Type="http://schemas.openxmlformats.org/officeDocument/2006/relationships/hyperlink" Target="http://www.osaka-u.ac.jp/en/access/buss.html" TargetMode="External"/><Relationship Id="rId7" Type="http://schemas.openxmlformats.org/officeDocument/2006/relationships/diagramQuickStyle" Target="../diagrams/quickStyle1.xml"/><Relationship Id="rId2" Type="http://schemas.openxmlformats.org/officeDocument/2006/relationships/image" Target="../media/image1.wmf"/><Relationship Id="rId1" Type="http://schemas.openxmlformats.org/officeDocument/2006/relationships/hyperlink" Target="http://www.osaka-u.ac.jp/en/guide/international_students/inbound/d.html" TargetMode="External"/><Relationship Id="rId6" Type="http://schemas.openxmlformats.org/officeDocument/2006/relationships/diagramLayout" Target="../diagrams/layout1.xml"/><Relationship Id="rId5" Type="http://schemas.openxmlformats.org/officeDocument/2006/relationships/diagramData" Target="../diagrams/data1.xml"/><Relationship Id="rId4" Type="http://schemas.openxmlformats.org/officeDocument/2006/relationships/image" Target="../media/image2.wmf"/><Relationship Id="rId9" Type="http://schemas.microsoft.com/office/2007/relationships/diagramDrawing" Target="../diagrams/drawing1.xml"/></Relationships>
</file>

<file path=xl/drawings/drawing1.xml><?xml version="1.0" encoding="utf-8"?>
<xdr:wsDr xmlns:xdr="http://schemas.openxmlformats.org/drawingml/2006/spreadsheetDrawing" xmlns:a="http://schemas.openxmlformats.org/drawingml/2006/main">
  <xdr:twoCellAnchor editAs="oneCell">
    <xdr:from>
      <xdr:col>14</xdr:col>
      <xdr:colOff>83820</xdr:colOff>
      <xdr:row>90</xdr:row>
      <xdr:rowOff>0</xdr:rowOff>
    </xdr:from>
    <xdr:to>
      <xdr:col>15</xdr:col>
      <xdr:colOff>144780</xdr:colOff>
      <xdr:row>93</xdr:row>
      <xdr:rowOff>134753</xdr:rowOff>
    </xdr:to>
    <xdr:sp macro="" textlink="">
      <xdr:nvSpPr>
        <xdr:cNvPr id="2" name="AutoShape 247">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7762220" y="16659225"/>
          <a:ext cx="632460" cy="584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1183342</xdr:colOff>
      <xdr:row>52</xdr:row>
      <xdr:rowOff>119903</xdr:rowOff>
    </xdr:from>
    <xdr:to>
      <xdr:col>18</xdr:col>
      <xdr:colOff>259081</xdr:colOff>
      <xdr:row>55</xdr:row>
      <xdr:rowOff>25774</xdr:rowOff>
    </xdr:to>
    <xdr:grpSp>
      <xdr:nvGrpSpPr>
        <xdr:cNvPr id="4" name="グループ化 10">
          <a:extLst>
            <a:ext uri="{FF2B5EF4-FFF2-40B4-BE49-F238E27FC236}">
              <a16:creationId xmlns:a16="http://schemas.microsoft.com/office/drawing/2014/main" id="{00000000-0008-0000-0000-000004000000}"/>
            </a:ext>
          </a:extLst>
        </xdr:cNvPr>
        <xdr:cNvGrpSpPr>
          <a:grpSpLocks/>
        </xdr:cNvGrpSpPr>
      </xdr:nvGrpSpPr>
      <xdr:grpSpPr bwMode="auto">
        <a:xfrm>
          <a:off x="21042967" y="8740028"/>
          <a:ext cx="6838614" cy="461496"/>
          <a:chOff x="11744324" y="10277475"/>
          <a:chExt cx="4772025" cy="619125"/>
        </a:xfrm>
      </xdr:grpSpPr>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bwMode="auto">
          <a:xfrm>
            <a:off x="11744324" y="10277475"/>
            <a:ext cx="4772025" cy="619125"/>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lvl="3" algn="l">
              <a:lnSpc>
                <a:spcPts val="900"/>
              </a:lnSpc>
            </a:pPr>
            <a:r>
              <a:rPr kumimoji="1" lang="en-US" altLang="ja-JP" sz="1100" b="1"/>
              <a:t>Campus Map</a:t>
            </a:r>
          </a:p>
          <a:p>
            <a:pPr marL="1371600" marR="0" lvl="3" indent="0" defTabSz="914400" eaLnBrk="1" fontAlgn="auto" latinLnBrk="0" hangingPunct="1">
              <a:lnSpc>
                <a:spcPts val="11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http://www.osaka-u.ac.jp/en/access/index.html</a:t>
            </a:r>
            <a:endParaRPr lang="ja-JP" altLang="ja-JP">
              <a:effectLst/>
            </a:endParaRPr>
          </a:p>
        </xdr:txBody>
      </xdr:sp>
      <xdr:pic>
        <xdr:nvPicPr>
          <xdr:cNvPr id="6" name="図 5" descr="C:\Documents and Settings\u212022k\Local Settings\Temporary Internet Files\Content.IE5\JDUFN8B7\MC900319484[1].wm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972495" y="10342267"/>
            <a:ext cx="671473" cy="489541"/>
          </a:xfrm>
          <a:prstGeom prst="rect">
            <a:avLst/>
          </a:prstGeom>
          <a:ln>
            <a:noFill/>
          </a:ln>
          <a:effectLst>
            <a:outerShdw blurRad="292100" dist="139700" dir="2700000" algn="tl" rotWithShape="0">
              <a:srgbClr val="333333">
                <a:alpha val="65000"/>
              </a:srgbClr>
            </a:outerShdw>
          </a:effectLst>
        </xdr:spPr>
      </xdr:pic>
    </xdr:grpSp>
    <xdr:clientData/>
  </xdr:twoCellAnchor>
  <xdr:twoCellAnchor>
    <xdr:from>
      <xdr:col>15</xdr:col>
      <xdr:colOff>1200150</xdr:colOff>
      <xdr:row>55</xdr:row>
      <xdr:rowOff>106009</xdr:rowOff>
    </xdr:from>
    <xdr:to>
      <xdr:col>18</xdr:col>
      <xdr:colOff>304800</xdr:colOff>
      <xdr:row>59</xdr:row>
      <xdr:rowOff>114300</xdr:rowOff>
    </xdr:to>
    <xdr:grpSp>
      <xdr:nvGrpSpPr>
        <xdr:cNvPr id="7" name="グループ化 16">
          <a:extLst>
            <a:ext uri="{FF2B5EF4-FFF2-40B4-BE49-F238E27FC236}">
              <a16:creationId xmlns:a16="http://schemas.microsoft.com/office/drawing/2014/main" id="{00000000-0008-0000-0000-000007000000}"/>
            </a:ext>
          </a:extLst>
        </xdr:cNvPr>
        <xdr:cNvGrpSpPr>
          <a:grpSpLocks/>
        </xdr:cNvGrpSpPr>
      </xdr:nvGrpSpPr>
      <xdr:grpSpPr bwMode="auto">
        <a:xfrm>
          <a:off x="21059775" y="9281759"/>
          <a:ext cx="6867525" cy="738541"/>
          <a:chOff x="11772900" y="8753475"/>
          <a:chExt cx="4772025" cy="619125"/>
        </a:xfrm>
      </xdr:grpSpPr>
      <xdr:sp macro="" textlink="">
        <xdr:nvSpPr>
          <xdr:cNvPr id="8" name="角丸四角形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bwMode="auto">
          <a:xfrm>
            <a:off x="11772900" y="8753475"/>
            <a:ext cx="4772025" cy="619125"/>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lvl="3" algn="l"/>
            <a:r>
              <a:rPr kumimoji="1" lang="en-US" altLang="ja-JP" sz="1100" b="1"/>
              <a:t>Inter</a:t>
            </a:r>
            <a:r>
              <a:rPr kumimoji="1" lang="en-US" altLang="ja-JP" sz="1100" b="1" baseline="0"/>
              <a:t> Campus Shuttle Bus</a:t>
            </a:r>
            <a:endParaRPr kumimoji="1" lang="en-US" altLang="ja-JP" sz="1100" b="1"/>
          </a:p>
          <a:p>
            <a:pPr lvl="3"/>
            <a:r>
              <a:rPr kumimoji="1" lang="en-US" altLang="ja-JP" sz="1100">
                <a:solidFill>
                  <a:schemeClr val="dk1"/>
                </a:solidFill>
                <a:effectLst/>
                <a:latin typeface="+mn-lt"/>
                <a:ea typeface="+mn-ea"/>
                <a:cs typeface="+mn-cs"/>
              </a:rPr>
              <a:t>http://www.osaka-u.ac.jp/en/access/bus.html</a:t>
            </a:r>
            <a:endParaRPr lang="ja-JP" altLang="ja-JP">
              <a:effectLst/>
            </a:endParaRPr>
          </a:p>
        </xdr:txBody>
      </xdr:sp>
      <xdr:pic>
        <xdr:nvPicPr>
          <xdr:cNvPr id="9" name="図 42" descr="C:\Documents and Settings\u212022k\Local Settings\Temporary Internet Files\Content.IE5\10JOT1AM\MC900346863[1].wm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001500" y="8891587"/>
            <a:ext cx="702369"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15</xdr:col>
      <xdr:colOff>1182333</xdr:colOff>
      <xdr:row>60</xdr:row>
      <xdr:rowOff>57710</xdr:rowOff>
    </xdr:from>
    <xdr:to>
      <xdr:col>18</xdr:col>
      <xdr:colOff>263873</xdr:colOff>
      <xdr:row>68</xdr:row>
      <xdr:rowOff>83484</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bwMode="auto">
        <a:xfrm>
          <a:off x="21146733" y="10306610"/>
          <a:ext cx="6872990" cy="1244974"/>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r>
            <a:rPr kumimoji="1" lang="en-US" altLang="ja-JP" sz="1100">
              <a:solidFill>
                <a:schemeClr val="dk1"/>
              </a:solidFill>
              <a:effectLst/>
              <a:latin typeface="+mn-lt"/>
              <a:ea typeface="+mn-ea"/>
              <a:cs typeface="+mn-cs"/>
            </a:rPr>
            <a:t>HUS: (Suita) School</a:t>
          </a:r>
          <a:r>
            <a:rPr kumimoji="1" lang="en-US" altLang="ja-JP" sz="1100" baseline="0">
              <a:solidFill>
                <a:schemeClr val="dk1"/>
              </a:solidFill>
              <a:effectLst/>
              <a:latin typeface="+mn-lt"/>
              <a:ea typeface="+mn-ea"/>
              <a:cs typeface="+mn-cs"/>
            </a:rPr>
            <a:t> /Graguate School of Human Sciences</a:t>
          </a:r>
          <a:endParaRPr lang="ja-JP" altLang="ja-JP">
            <a:effectLst/>
          </a:endParaRPr>
        </a:p>
        <a:p>
          <a:pPr eaLnBrk="1" fontAlgn="auto" latinLnBrk="0" hangingPunct="1"/>
          <a:r>
            <a:rPr kumimoji="1" lang="en-US" altLang="ja-JP" sz="1100">
              <a:solidFill>
                <a:schemeClr val="dk1"/>
              </a:solidFill>
              <a:effectLst/>
              <a:latin typeface="+mn-lt"/>
              <a:ea typeface="+mn-ea"/>
              <a:cs typeface="+mn-cs"/>
            </a:rPr>
            <a:t>CELAS: (Toyonaka)</a:t>
          </a:r>
          <a:r>
            <a:rPr lang="en-US" altLang="ja-JP" sz="1100">
              <a:solidFill>
                <a:schemeClr val="dk1"/>
              </a:solidFill>
              <a:effectLst/>
              <a:latin typeface="+mn-lt"/>
              <a:ea typeface="+mn-ea"/>
              <a:cs typeface="+mn-cs"/>
            </a:rPr>
            <a:t>Center for Education in Liberal Arts and Sciences</a:t>
          </a:r>
          <a:endParaRPr lang="ja-JP" altLang="ja-JP">
            <a:effectLst/>
          </a:endParaRPr>
        </a:p>
        <a:p>
          <a:r>
            <a:rPr kumimoji="1" lang="en-US" altLang="ja-JP" sz="1100">
              <a:solidFill>
                <a:schemeClr val="dk1"/>
              </a:solidFill>
              <a:effectLst/>
              <a:latin typeface="+mn-lt"/>
              <a:ea typeface="+mn-ea"/>
              <a:cs typeface="+mn-cs"/>
            </a:rPr>
            <a:t>Lecture Bld(Let.Law.Econ)</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(Toyonaka)</a:t>
          </a:r>
          <a:r>
            <a:rPr kumimoji="1" lang="en-US" altLang="ja-JP"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Letters, Law and Economics Building</a:t>
          </a:r>
          <a:endParaRPr lang="ja-JP" altLang="ja-JP">
            <a:effectLst/>
          </a:endParaRPr>
        </a:p>
        <a:p>
          <a:r>
            <a:rPr lang="en-US" altLang="ja-JP" sz="1100">
              <a:solidFill>
                <a:schemeClr val="dk1"/>
              </a:solidFill>
              <a:effectLst/>
              <a:latin typeface="+mn-lt"/>
              <a:ea typeface="+mn-ea"/>
              <a:cs typeface="+mn-cs"/>
            </a:rPr>
            <a:t>Lecture Bld(Law.Econ)</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(Toyonaka)Graduate School of Law and Graduate School of Economics/Lecture Building</a:t>
          </a:r>
          <a:endParaRPr lang="ja-JP" altLang="ja-JP">
            <a:effectLst/>
          </a:endParaRPr>
        </a:p>
        <a:p>
          <a:pPr eaLnBrk="1" fontAlgn="auto" latinLnBrk="0" hangingPunct="1"/>
          <a:r>
            <a:rPr kumimoji="1" lang="en-US" altLang="ja-JP" sz="1100">
              <a:solidFill>
                <a:schemeClr val="dk1"/>
              </a:solidFill>
              <a:effectLst/>
              <a:latin typeface="+mn-lt"/>
              <a:ea typeface="+mn-ea"/>
              <a:cs typeface="+mn-cs"/>
            </a:rPr>
            <a:t>Research Bld(Law.Econ)</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(Toyonaka)Graduate School of Law and Graduate School of Economics/Research Building </a:t>
          </a:r>
          <a:endParaRPr lang="ja-JP" altLang="ja-JP">
            <a:effectLst/>
          </a:endParaRPr>
        </a:p>
        <a:p>
          <a:pPr eaLnBrk="1" fontAlgn="auto" latinLnBrk="0" hangingPunct="1"/>
          <a:r>
            <a:rPr kumimoji="1" lang="en-US" altLang="ja-JP" sz="1100">
              <a:solidFill>
                <a:schemeClr val="dk1"/>
              </a:solidFill>
              <a:effectLst/>
              <a:latin typeface="+mn-lt"/>
              <a:ea typeface="+mn-ea"/>
              <a:cs typeface="+mn-cs"/>
            </a:rPr>
            <a:t>OSIPP:(Toyonaka)Osaka</a:t>
          </a:r>
          <a:r>
            <a:rPr kumimoji="1" lang="en-US" altLang="ja-JP" sz="1100" baseline="0">
              <a:solidFill>
                <a:schemeClr val="dk1"/>
              </a:solidFill>
              <a:effectLst/>
              <a:latin typeface="+mn-lt"/>
              <a:ea typeface="+mn-ea"/>
              <a:cs typeface="+mn-cs"/>
            </a:rPr>
            <a:t> School of </a:t>
          </a:r>
          <a:r>
            <a:rPr kumimoji="1" lang="en-US" altLang="ja-JP" sz="1100">
              <a:solidFill>
                <a:schemeClr val="dk1"/>
              </a:solidFill>
              <a:effectLst/>
              <a:latin typeface="+mn-lt"/>
              <a:ea typeface="+mn-ea"/>
              <a:cs typeface="+mn-cs"/>
            </a:rPr>
            <a:t>International Public Policy </a:t>
          </a:r>
          <a:endParaRPr lang="ja-JP" altLang="ja-JP">
            <a:effectLst/>
          </a:endParaRPr>
        </a:p>
      </xdr:txBody>
    </xdr:sp>
    <xdr:clientData/>
  </xdr:twoCellAnchor>
  <xdr:twoCellAnchor>
    <xdr:from>
      <xdr:col>13</xdr:col>
      <xdr:colOff>136525</xdr:colOff>
      <xdr:row>54</xdr:row>
      <xdr:rowOff>76947</xdr:rowOff>
    </xdr:from>
    <xdr:to>
      <xdr:col>15</xdr:col>
      <xdr:colOff>968375</xdr:colOff>
      <xdr:row>63</xdr:row>
      <xdr:rowOff>47625</xdr:rowOff>
    </xdr:to>
    <xdr:graphicFrame macro="">
      <xdr:nvGraphicFramePr>
        <xdr:cNvPr id="11" name="図表 10">
          <a:extLst>
            <a:ext uri="{FF2B5EF4-FFF2-40B4-BE49-F238E27FC236}">
              <a16:creationId xmlns:a16="http://schemas.microsoft.com/office/drawing/2014/main" id="{E1140FEA-0F29-4E44-B810-68493755C51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 r:lo="rId6" r:qs="rId7" r:cs="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Y100"/>
  <sheetViews>
    <sheetView showGridLines="0" tabSelected="1" zoomScale="60" zoomScaleNormal="60" zoomScalePageLayoutView="85" workbookViewId="0">
      <pane xSplit="1" ySplit="5" topLeftCell="B33" activePane="bottomRight" state="frozen"/>
      <selection pane="topRight" activeCell="B1" sqref="B1"/>
      <selection pane="bottomLeft" activeCell="A3" sqref="A3"/>
      <selection pane="bottomRight" activeCell="R75" sqref="R75"/>
    </sheetView>
  </sheetViews>
  <sheetFormatPr defaultColWidth="9" defaultRowHeight="13.5" x14ac:dyDescent="0.15"/>
  <cols>
    <col min="1" max="1" width="6.5" style="1" customWidth="1"/>
    <col min="2" max="2" width="4.375" style="11" customWidth="1"/>
    <col min="3" max="3" width="7.125" style="1" customWidth="1"/>
    <col min="4" max="4" width="46.125" style="1" customWidth="1"/>
    <col min="5" max="5" width="21.875" style="9" customWidth="1"/>
    <col min="6" max="6" width="31.625" style="9" customWidth="1"/>
    <col min="7" max="7" width="11" style="9" customWidth="1"/>
    <col min="8" max="8" width="4.375" style="11" customWidth="1"/>
    <col min="9" max="9" width="7.5" style="1" customWidth="1"/>
    <col min="10" max="10" width="42.125" style="1" customWidth="1"/>
    <col min="11" max="11" width="21.875" style="9" customWidth="1"/>
    <col min="12" max="12" width="34.125" style="9" customWidth="1"/>
    <col min="13" max="13" width="10.125" style="9" customWidth="1"/>
    <col min="14" max="14" width="4.375" style="6" customWidth="1"/>
    <col min="15" max="15" width="7.5" style="1" customWidth="1"/>
    <col min="16" max="16" width="44.625" style="1" customWidth="1"/>
    <col min="17" max="17" width="21.875" style="9" customWidth="1"/>
    <col min="18" max="18" width="35.5" style="9" customWidth="1"/>
    <col min="19" max="19" width="11.5" style="1" customWidth="1"/>
    <col min="20" max="16384" width="9" style="1"/>
  </cols>
  <sheetData>
    <row r="1" spans="1:25" ht="23.25" customHeight="1" x14ac:dyDescent="0.3">
      <c r="A1" s="405" t="s">
        <v>122</v>
      </c>
      <c r="B1" s="406"/>
      <c r="C1" s="406"/>
      <c r="D1" s="406"/>
      <c r="E1" s="406"/>
      <c r="F1" s="406"/>
      <c r="G1" s="406"/>
      <c r="H1" s="406"/>
      <c r="I1" s="406"/>
      <c r="J1" s="406"/>
      <c r="K1" s="406"/>
      <c r="L1" s="406"/>
      <c r="M1" s="406"/>
      <c r="N1" s="406"/>
      <c r="O1" s="406"/>
      <c r="P1" s="406"/>
      <c r="Q1" s="406"/>
      <c r="R1" s="406"/>
      <c r="S1" s="406"/>
      <c r="T1" s="12"/>
      <c r="U1" s="12"/>
      <c r="V1" s="12"/>
      <c r="W1" s="12"/>
      <c r="X1" s="12"/>
      <c r="Y1" s="12"/>
    </row>
    <row r="2" spans="1:25" ht="22.5" customHeight="1" x14ac:dyDescent="0.3">
      <c r="A2" s="96"/>
      <c r="B2" s="331" t="s">
        <v>25</v>
      </c>
      <c r="C2" s="331"/>
      <c r="D2" s="331"/>
      <c r="E2" s="327"/>
      <c r="F2" s="327"/>
      <c r="G2" s="327"/>
      <c r="H2" s="327"/>
      <c r="I2" s="327"/>
      <c r="J2" s="97"/>
      <c r="K2" s="97"/>
      <c r="L2" s="97"/>
      <c r="M2" s="97"/>
      <c r="N2" s="97"/>
      <c r="O2" s="97"/>
      <c r="P2" s="97"/>
      <c r="Q2" s="97"/>
      <c r="R2" s="97"/>
      <c r="S2" s="97"/>
    </row>
    <row r="3" spans="1:25" ht="22.5" customHeight="1" x14ac:dyDescent="0.3">
      <c r="A3" s="96"/>
      <c r="B3" s="332" t="s">
        <v>26</v>
      </c>
      <c r="C3" s="332"/>
      <c r="D3" s="332"/>
      <c r="E3" s="328"/>
      <c r="F3" s="328"/>
      <c r="G3" s="328"/>
      <c r="H3" s="328"/>
      <c r="I3" s="328"/>
      <c r="J3" s="97"/>
      <c r="K3" s="97"/>
      <c r="L3" s="97"/>
      <c r="M3" s="97"/>
      <c r="N3" s="97"/>
      <c r="O3" s="97"/>
      <c r="P3" s="97"/>
      <c r="Q3" s="97"/>
      <c r="R3" s="97"/>
      <c r="S3" s="97"/>
    </row>
    <row r="4" spans="1:25" ht="22.5" customHeight="1" x14ac:dyDescent="0.3">
      <c r="A4" s="96"/>
      <c r="B4" s="332" t="s">
        <v>27</v>
      </c>
      <c r="C4" s="332"/>
      <c r="D4" s="332"/>
      <c r="E4" s="328"/>
      <c r="F4" s="328"/>
      <c r="G4" s="328"/>
      <c r="H4" s="328"/>
      <c r="I4" s="328"/>
      <c r="J4" s="97"/>
      <c r="K4" s="97"/>
      <c r="L4" s="97"/>
      <c r="M4" s="97"/>
      <c r="N4" s="97"/>
      <c r="O4" s="97"/>
      <c r="P4" s="97"/>
      <c r="Q4" s="97"/>
      <c r="R4" s="97"/>
      <c r="S4" s="97"/>
    </row>
    <row r="5" spans="1:25" ht="22.5" customHeight="1" x14ac:dyDescent="0.3">
      <c r="A5" s="96"/>
      <c r="B5" s="332" t="s">
        <v>28</v>
      </c>
      <c r="C5" s="332"/>
      <c r="D5" s="332"/>
      <c r="E5" s="328"/>
      <c r="F5" s="328"/>
      <c r="G5" s="328"/>
      <c r="H5" s="328"/>
      <c r="I5" s="328"/>
      <c r="J5" s="97"/>
      <c r="K5" s="97"/>
      <c r="L5" s="97"/>
      <c r="M5" s="97"/>
      <c r="N5" s="97"/>
      <c r="O5" s="97"/>
      <c r="P5" s="97"/>
      <c r="Q5" s="97"/>
      <c r="R5" s="97"/>
      <c r="S5" s="97"/>
    </row>
    <row r="6" spans="1:25" s="44" customFormat="1" ht="23.25" thickBot="1" x14ac:dyDescent="0.35">
      <c r="A6" s="96"/>
      <c r="B6" s="407"/>
      <c r="C6" s="407"/>
      <c r="D6" s="407"/>
      <c r="E6" s="97"/>
      <c r="F6" s="97"/>
      <c r="G6" s="97"/>
      <c r="H6" s="97"/>
      <c r="I6" s="97"/>
      <c r="J6" s="97"/>
      <c r="K6" s="97"/>
      <c r="L6" s="97"/>
      <c r="M6" s="97"/>
      <c r="N6" s="97"/>
      <c r="O6" s="97"/>
      <c r="P6" s="97"/>
      <c r="Q6" s="97"/>
      <c r="R6" s="97"/>
      <c r="S6" s="97"/>
    </row>
    <row r="7" spans="1:25" s="2" customFormat="1" ht="12" customHeight="1" thickBot="1" x14ac:dyDescent="0.2">
      <c r="A7" s="98" t="s">
        <v>19</v>
      </c>
      <c r="B7" s="329" t="s">
        <v>21</v>
      </c>
      <c r="C7" s="300"/>
      <c r="D7" s="300"/>
      <c r="E7" s="300"/>
      <c r="F7" s="300"/>
      <c r="G7" s="301"/>
      <c r="H7" s="299" t="s">
        <v>10</v>
      </c>
      <c r="I7" s="300"/>
      <c r="J7" s="300"/>
      <c r="K7" s="300"/>
      <c r="L7" s="300"/>
      <c r="M7" s="301"/>
      <c r="N7" s="333" t="s">
        <v>11</v>
      </c>
      <c r="O7" s="297"/>
      <c r="P7" s="297"/>
      <c r="Q7" s="297"/>
      <c r="R7" s="298"/>
      <c r="S7" s="334"/>
    </row>
    <row r="8" spans="1:25" s="4" customFormat="1" ht="23.25" thickBot="1" x14ac:dyDescent="0.2">
      <c r="A8" s="98" t="s">
        <v>22</v>
      </c>
      <c r="B8" s="99" t="s">
        <v>23</v>
      </c>
      <c r="C8" s="3" t="s">
        <v>15</v>
      </c>
      <c r="D8" s="100" t="s">
        <v>16</v>
      </c>
      <c r="E8" s="101" t="s">
        <v>17</v>
      </c>
      <c r="F8" s="102" t="s">
        <v>18</v>
      </c>
      <c r="G8" s="103" t="s">
        <v>123</v>
      </c>
      <c r="H8" s="104" t="s">
        <v>23</v>
      </c>
      <c r="I8" s="3" t="s">
        <v>15</v>
      </c>
      <c r="J8" s="100" t="s">
        <v>16</v>
      </c>
      <c r="K8" s="101" t="s">
        <v>17</v>
      </c>
      <c r="L8" s="102" t="s">
        <v>18</v>
      </c>
      <c r="M8" s="204" t="s">
        <v>123</v>
      </c>
      <c r="N8" s="104" t="s">
        <v>23</v>
      </c>
      <c r="O8" s="3" t="s">
        <v>15</v>
      </c>
      <c r="P8" s="100" t="s">
        <v>16</v>
      </c>
      <c r="Q8" s="101" t="s">
        <v>17</v>
      </c>
      <c r="R8" s="102" t="s">
        <v>18</v>
      </c>
      <c r="S8" s="105" t="s">
        <v>123</v>
      </c>
    </row>
    <row r="9" spans="1:25" s="5" customFormat="1" ht="11.25" customHeight="1" x14ac:dyDescent="0.15">
      <c r="A9" s="304">
        <v>1</v>
      </c>
      <c r="B9" s="313"/>
      <c r="C9" s="314"/>
      <c r="D9" s="106"/>
      <c r="E9" s="107"/>
      <c r="F9" s="108"/>
      <c r="G9" s="303"/>
      <c r="H9" s="315" t="s">
        <v>52</v>
      </c>
      <c r="I9" s="316" t="s">
        <v>124</v>
      </c>
      <c r="J9" s="86" t="s">
        <v>125</v>
      </c>
      <c r="K9" s="87" t="s">
        <v>50</v>
      </c>
      <c r="L9" s="87" t="s">
        <v>126</v>
      </c>
      <c r="M9" s="324" t="s">
        <v>119</v>
      </c>
      <c r="N9" s="302" t="s">
        <v>52</v>
      </c>
      <c r="O9" s="316" t="s">
        <v>124</v>
      </c>
      <c r="P9" s="86" t="s">
        <v>125</v>
      </c>
      <c r="Q9" s="87" t="s">
        <v>86</v>
      </c>
      <c r="R9" s="87" t="s">
        <v>127</v>
      </c>
      <c r="S9" s="335" t="str">
        <f>IF($M9=0, "", $M9)</f>
        <v>-</v>
      </c>
    </row>
    <row r="10" spans="1:25" s="4" customFormat="1" ht="11.25" customHeight="1" x14ac:dyDescent="0.15">
      <c r="A10" s="305"/>
      <c r="B10" s="307"/>
      <c r="C10" s="289"/>
      <c r="D10" s="53"/>
      <c r="E10" s="54"/>
      <c r="F10" s="55"/>
      <c r="G10" s="264"/>
      <c r="H10" s="284"/>
      <c r="I10" s="282"/>
      <c r="J10" s="60" t="s">
        <v>128</v>
      </c>
      <c r="K10" s="59" t="s">
        <v>57</v>
      </c>
      <c r="L10" s="31" t="s">
        <v>129</v>
      </c>
      <c r="M10" s="312"/>
      <c r="N10" s="286"/>
      <c r="O10" s="282"/>
      <c r="P10" s="60" t="s">
        <v>128</v>
      </c>
      <c r="Q10" s="59" t="s">
        <v>87</v>
      </c>
      <c r="R10" s="80" t="s">
        <v>130</v>
      </c>
      <c r="S10" s="317"/>
    </row>
    <row r="11" spans="1:25" s="5" customFormat="1" ht="11.25" customHeight="1" x14ac:dyDescent="0.15">
      <c r="A11" s="305"/>
      <c r="B11" s="307"/>
      <c r="C11" s="289"/>
      <c r="D11" s="51"/>
      <c r="E11" s="54"/>
      <c r="F11" s="39"/>
      <c r="G11" s="264"/>
      <c r="H11" s="283" t="s">
        <v>52</v>
      </c>
      <c r="I11" s="281" t="s">
        <v>131</v>
      </c>
      <c r="J11" s="61" t="s">
        <v>132</v>
      </c>
      <c r="K11" s="62" t="s">
        <v>50</v>
      </c>
      <c r="L11" s="62" t="s">
        <v>126</v>
      </c>
      <c r="M11" s="312" t="s">
        <v>119</v>
      </c>
      <c r="N11" s="285" t="s">
        <v>52</v>
      </c>
      <c r="O11" s="281" t="s">
        <v>131</v>
      </c>
      <c r="P11" s="61" t="s">
        <v>132</v>
      </c>
      <c r="Q11" s="62" t="s">
        <v>88</v>
      </c>
      <c r="R11" s="62" t="s">
        <v>133</v>
      </c>
      <c r="S11" s="317" t="str">
        <f>IF($M11=0, "", $M11)</f>
        <v>-</v>
      </c>
    </row>
    <row r="12" spans="1:25" s="4" customFormat="1" ht="11.25" customHeight="1" x14ac:dyDescent="0.15">
      <c r="A12" s="305"/>
      <c r="B12" s="307"/>
      <c r="C12" s="289"/>
      <c r="D12" s="51"/>
      <c r="E12" s="54"/>
      <c r="F12" s="39"/>
      <c r="G12" s="264"/>
      <c r="H12" s="284"/>
      <c r="I12" s="282"/>
      <c r="J12" s="60" t="s">
        <v>134</v>
      </c>
      <c r="K12" s="59" t="s">
        <v>57</v>
      </c>
      <c r="L12" s="31" t="s">
        <v>135</v>
      </c>
      <c r="M12" s="312"/>
      <c r="N12" s="330"/>
      <c r="O12" s="323"/>
      <c r="P12" s="109" t="s">
        <v>134</v>
      </c>
      <c r="Q12" s="59" t="s">
        <v>89</v>
      </c>
      <c r="R12" s="59" t="s">
        <v>136</v>
      </c>
      <c r="S12" s="317"/>
    </row>
    <row r="13" spans="1:25" s="5" customFormat="1" ht="11.25" customHeight="1" x14ac:dyDescent="0.15">
      <c r="A13" s="305"/>
      <c r="B13" s="307"/>
      <c r="C13" s="289"/>
      <c r="D13" s="51"/>
      <c r="E13" s="19"/>
      <c r="F13" s="55"/>
      <c r="G13" s="264"/>
      <c r="H13" s="308"/>
      <c r="I13" s="310"/>
      <c r="J13" s="110"/>
      <c r="K13" s="111"/>
      <c r="L13" s="111"/>
      <c r="M13" s="264"/>
      <c r="N13" s="285" t="s">
        <v>52</v>
      </c>
      <c r="O13" s="281" t="s">
        <v>137</v>
      </c>
      <c r="P13" s="61" t="s">
        <v>138</v>
      </c>
      <c r="Q13" s="62" t="s">
        <v>69</v>
      </c>
      <c r="R13" s="62" t="s">
        <v>139</v>
      </c>
      <c r="S13" s="317" t="str">
        <f>IF($M33=0, "", $M33)</f>
        <v>-</v>
      </c>
    </row>
    <row r="14" spans="1:25" s="4" customFormat="1" ht="11.25" customHeight="1" x14ac:dyDescent="0.15">
      <c r="A14" s="305"/>
      <c r="B14" s="307"/>
      <c r="C14" s="289"/>
      <c r="D14" s="51"/>
      <c r="E14" s="19"/>
      <c r="F14" s="55"/>
      <c r="G14" s="264"/>
      <c r="H14" s="309"/>
      <c r="I14" s="311"/>
      <c r="J14" s="112"/>
      <c r="K14" s="113"/>
      <c r="L14" s="113"/>
      <c r="M14" s="264"/>
      <c r="N14" s="286"/>
      <c r="O14" s="282"/>
      <c r="P14" s="60" t="s">
        <v>140</v>
      </c>
      <c r="Q14" s="80" t="s">
        <v>70</v>
      </c>
      <c r="R14" s="80" t="s">
        <v>59</v>
      </c>
      <c r="S14" s="317"/>
    </row>
    <row r="15" spans="1:25" s="5" customFormat="1" ht="11.25" customHeight="1" x14ac:dyDescent="0.15">
      <c r="A15" s="305"/>
      <c r="B15" s="307"/>
      <c r="C15" s="289"/>
      <c r="D15" s="51"/>
      <c r="E15" s="19"/>
      <c r="F15" s="39"/>
      <c r="G15" s="264"/>
      <c r="H15" s="283" t="s">
        <v>52</v>
      </c>
      <c r="I15" s="281" t="s">
        <v>141</v>
      </c>
      <c r="J15" s="61" t="s">
        <v>142</v>
      </c>
      <c r="K15" s="66" t="s">
        <v>143</v>
      </c>
      <c r="L15" s="62" t="s">
        <v>144</v>
      </c>
      <c r="M15" s="265" t="s">
        <v>119</v>
      </c>
      <c r="N15" s="285" t="s">
        <v>52</v>
      </c>
      <c r="O15" s="281" t="s">
        <v>141</v>
      </c>
      <c r="P15" s="61" t="s">
        <v>142</v>
      </c>
      <c r="Q15" s="66" t="s">
        <v>91</v>
      </c>
      <c r="R15" s="62" t="s">
        <v>145</v>
      </c>
      <c r="S15" s="317" t="str">
        <f>IF($M15=0, "", $M15)</f>
        <v>-</v>
      </c>
    </row>
    <row r="16" spans="1:25" s="5" customFormat="1" ht="11.25" customHeight="1" x14ac:dyDescent="0.15">
      <c r="A16" s="305"/>
      <c r="B16" s="307"/>
      <c r="C16" s="289"/>
      <c r="D16" s="51"/>
      <c r="E16" s="19"/>
      <c r="F16" s="39"/>
      <c r="G16" s="264"/>
      <c r="H16" s="284"/>
      <c r="I16" s="282"/>
      <c r="J16" s="60" t="s">
        <v>146</v>
      </c>
      <c r="K16" s="26" t="s">
        <v>147</v>
      </c>
      <c r="L16" s="80" t="s">
        <v>148</v>
      </c>
      <c r="M16" s="266"/>
      <c r="N16" s="286"/>
      <c r="O16" s="282"/>
      <c r="P16" s="60" t="s">
        <v>146</v>
      </c>
      <c r="Q16" s="26" t="s">
        <v>92</v>
      </c>
      <c r="R16" s="80" t="s">
        <v>77</v>
      </c>
      <c r="S16" s="317"/>
    </row>
    <row r="17" spans="1:19" s="5" customFormat="1" ht="11.25" customHeight="1" x14ac:dyDescent="0.15">
      <c r="A17" s="305"/>
      <c r="B17" s="114"/>
      <c r="C17" s="91"/>
      <c r="D17" s="51"/>
      <c r="E17" s="19"/>
      <c r="F17" s="39"/>
      <c r="G17" s="264"/>
      <c r="H17" s="283" t="s">
        <v>52</v>
      </c>
      <c r="I17" s="281" t="s">
        <v>149</v>
      </c>
      <c r="J17" s="61" t="s">
        <v>150</v>
      </c>
      <c r="K17" s="66" t="s">
        <v>143</v>
      </c>
      <c r="L17" s="62" t="s">
        <v>144</v>
      </c>
      <c r="M17" s="265" t="s">
        <v>119</v>
      </c>
      <c r="N17" s="285" t="s">
        <v>52</v>
      </c>
      <c r="O17" s="281" t="s">
        <v>149</v>
      </c>
      <c r="P17" s="61" t="s">
        <v>150</v>
      </c>
      <c r="Q17" s="66" t="s">
        <v>93</v>
      </c>
      <c r="R17" s="62" t="s">
        <v>151</v>
      </c>
      <c r="S17" s="317" t="str">
        <f>IF($M17=0, "", $M17)</f>
        <v>-</v>
      </c>
    </row>
    <row r="18" spans="1:19" s="4" customFormat="1" ht="11.25" customHeight="1" x14ac:dyDescent="0.15">
      <c r="A18" s="305"/>
      <c r="B18" s="114"/>
      <c r="C18" s="91"/>
      <c r="D18" s="51"/>
      <c r="E18" s="19"/>
      <c r="F18" s="39"/>
      <c r="G18" s="264"/>
      <c r="H18" s="284"/>
      <c r="I18" s="282"/>
      <c r="J18" s="60" t="s">
        <v>152</v>
      </c>
      <c r="K18" s="26" t="s">
        <v>147</v>
      </c>
      <c r="L18" s="80" t="s">
        <v>148</v>
      </c>
      <c r="M18" s="266"/>
      <c r="N18" s="286"/>
      <c r="O18" s="282"/>
      <c r="P18" s="60" t="s">
        <v>152</v>
      </c>
      <c r="Q18" s="26" t="s">
        <v>94</v>
      </c>
      <c r="R18" s="80" t="s">
        <v>68</v>
      </c>
      <c r="S18" s="317"/>
    </row>
    <row r="19" spans="1:19" s="5" customFormat="1" ht="11.25" customHeight="1" x14ac:dyDescent="0.15">
      <c r="A19" s="305"/>
      <c r="B19" s="114"/>
      <c r="C19" s="91"/>
      <c r="D19" s="51"/>
      <c r="E19" s="19"/>
      <c r="F19" s="39"/>
      <c r="G19" s="264"/>
      <c r="H19" s="283" t="s">
        <v>52</v>
      </c>
      <c r="I19" s="281" t="s">
        <v>153</v>
      </c>
      <c r="J19" s="63" t="s">
        <v>154</v>
      </c>
      <c r="K19" s="66" t="s">
        <v>155</v>
      </c>
      <c r="L19" s="62" t="s">
        <v>156</v>
      </c>
      <c r="M19" s="265" t="s">
        <v>119</v>
      </c>
      <c r="N19" s="285" t="s">
        <v>52</v>
      </c>
      <c r="O19" s="281" t="s">
        <v>153</v>
      </c>
      <c r="P19" s="63" t="s">
        <v>154</v>
      </c>
      <c r="Q19" s="66" t="s">
        <v>157</v>
      </c>
      <c r="R19" s="62" t="s">
        <v>158</v>
      </c>
      <c r="S19" s="317" t="str">
        <f>IF($M19=0, "", $M19)</f>
        <v>-</v>
      </c>
    </row>
    <row r="20" spans="1:19" s="4" customFormat="1" ht="11.25" customHeight="1" x14ac:dyDescent="0.15">
      <c r="A20" s="305"/>
      <c r="B20" s="114"/>
      <c r="C20" s="91"/>
      <c r="D20" s="51"/>
      <c r="E20" s="19"/>
      <c r="F20" s="39"/>
      <c r="G20" s="264"/>
      <c r="H20" s="284"/>
      <c r="I20" s="282"/>
      <c r="J20" s="60" t="s">
        <v>159</v>
      </c>
      <c r="K20" s="26" t="s">
        <v>70</v>
      </c>
      <c r="L20" s="80" t="s">
        <v>160</v>
      </c>
      <c r="M20" s="266"/>
      <c r="N20" s="286"/>
      <c r="O20" s="282"/>
      <c r="P20" s="60" t="s">
        <v>159</v>
      </c>
      <c r="Q20" s="26" t="s">
        <v>13</v>
      </c>
      <c r="R20" s="80" t="s">
        <v>148</v>
      </c>
      <c r="S20" s="317"/>
    </row>
    <row r="21" spans="1:19" s="4" customFormat="1" ht="11.25" customHeight="1" x14ac:dyDescent="0.15">
      <c r="A21" s="305"/>
      <c r="B21" s="114"/>
      <c r="C21" s="91"/>
      <c r="D21" s="51"/>
      <c r="E21" s="19"/>
      <c r="F21" s="39"/>
      <c r="G21" s="264"/>
      <c r="H21" s="283" t="s">
        <v>52</v>
      </c>
      <c r="I21" s="281" t="s">
        <v>161</v>
      </c>
      <c r="J21" s="63" t="s">
        <v>162</v>
      </c>
      <c r="K21" s="66" t="s">
        <v>163</v>
      </c>
      <c r="L21" s="62" t="s">
        <v>164</v>
      </c>
      <c r="M21" s="265" t="s">
        <v>119</v>
      </c>
      <c r="N21" s="285" t="s">
        <v>52</v>
      </c>
      <c r="O21" s="281" t="s">
        <v>161</v>
      </c>
      <c r="P21" s="63" t="s">
        <v>165</v>
      </c>
      <c r="Q21" s="66" t="s">
        <v>157</v>
      </c>
      <c r="R21" s="62" t="s">
        <v>158</v>
      </c>
      <c r="S21" s="317" t="str">
        <f>IF($M21=0, "", $M21)</f>
        <v>-</v>
      </c>
    </row>
    <row r="22" spans="1:19" s="4" customFormat="1" ht="11.25" customHeight="1" x14ac:dyDescent="0.15">
      <c r="A22" s="305"/>
      <c r="B22" s="114"/>
      <c r="C22" s="91"/>
      <c r="D22" s="51"/>
      <c r="E22" s="19"/>
      <c r="F22" s="39"/>
      <c r="G22" s="264"/>
      <c r="H22" s="284"/>
      <c r="I22" s="282"/>
      <c r="J22" s="60" t="s">
        <v>166</v>
      </c>
      <c r="K22" s="26" t="s">
        <v>108</v>
      </c>
      <c r="L22" s="80" t="s">
        <v>167</v>
      </c>
      <c r="M22" s="266"/>
      <c r="N22" s="286"/>
      <c r="O22" s="282"/>
      <c r="P22" s="60" t="s">
        <v>168</v>
      </c>
      <c r="Q22" s="26" t="s">
        <v>13</v>
      </c>
      <c r="R22" s="80" t="s">
        <v>169</v>
      </c>
      <c r="S22" s="317"/>
    </row>
    <row r="23" spans="1:19" s="4" customFormat="1" ht="11.25" customHeight="1" x14ac:dyDescent="0.15">
      <c r="A23" s="305"/>
      <c r="B23" s="114"/>
      <c r="C23" s="91"/>
      <c r="D23" s="51"/>
      <c r="E23" s="19"/>
      <c r="F23" s="39"/>
      <c r="G23" s="264"/>
      <c r="H23" s="283" t="s">
        <v>52</v>
      </c>
      <c r="I23" s="281" t="s">
        <v>170</v>
      </c>
      <c r="J23" s="63" t="s">
        <v>171</v>
      </c>
      <c r="K23" s="32" t="s">
        <v>172</v>
      </c>
      <c r="L23" s="62" t="s">
        <v>173</v>
      </c>
      <c r="M23" s="265" t="s">
        <v>119</v>
      </c>
      <c r="N23" s="285" t="s">
        <v>52</v>
      </c>
      <c r="O23" s="281" t="s">
        <v>170</v>
      </c>
      <c r="P23" s="63" t="s">
        <v>171</v>
      </c>
      <c r="Q23" s="66" t="s">
        <v>174</v>
      </c>
      <c r="R23" s="62" t="s">
        <v>175</v>
      </c>
      <c r="S23" s="317" t="str">
        <f>IF($M23=0, "", $M23)</f>
        <v>-</v>
      </c>
    </row>
    <row r="24" spans="1:19" s="4" customFormat="1" ht="11.25" customHeight="1" x14ac:dyDescent="0.15">
      <c r="A24" s="305"/>
      <c r="B24" s="114"/>
      <c r="C24" s="91"/>
      <c r="D24" s="51"/>
      <c r="E24" s="19"/>
      <c r="F24" s="39"/>
      <c r="G24" s="264"/>
      <c r="H24" s="284"/>
      <c r="I24" s="282"/>
      <c r="J24" s="60" t="s">
        <v>176</v>
      </c>
      <c r="K24" s="67" t="s">
        <v>73</v>
      </c>
      <c r="L24" s="80" t="s">
        <v>177</v>
      </c>
      <c r="M24" s="266"/>
      <c r="N24" s="286"/>
      <c r="O24" s="295"/>
      <c r="P24" s="60" t="s">
        <v>176</v>
      </c>
      <c r="Q24" s="26" t="s">
        <v>95</v>
      </c>
      <c r="R24" s="80" t="s">
        <v>90</v>
      </c>
      <c r="S24" s="317"/>
    </row>
    <row r="25" spans="1:19" s="4" customFormat="1" ht="11.25" customHeight="1" x14ac:dyDescent="0.15">
      <c r="A25" s="305"/>
      <c r="B25" s="114"/>
      <c r="C25" s="91"/>
      <c r="D25" s="51"/>
      <c r="E25" s="19"/>
      <c r="F25" s="39"/>
      <c r="G25" s="264"/>
      <c r="H25" s="283" t="s">
        <v>52</v>
      </c>
      <c r="I25" s="281" t="s">
        <v>178</v>
      </c>
      <c r="J25" s="63" t="s">
        <v>179</v>
      </c>
      <c r="K25" s="66" t="s">
        <v>180</v>
      </c>
      <c r="L25" s="62" t="s">
        <v>181</v>
      </c>
      <c r="M25" s="265" t="s">
        <v>119</v>
      </c>
      <c r="N25" s="285" t="s">
        <v>52</v>
      </c>
      <c r="O25" s="281" t="s">
        <v>178</v>
      </c>
      <c r="P25" s="63" t="s">
        <v>179</v>
      </c>
      <c r="Q25" s="66" t="s">
        <v>74</v>
      </c>
      <c r="R25" s="62" t="s">
        <v>182</v>
      </c>
      <c r="S25" s="317" t="str">
        <f>IF($M25=0, "", $M25)</f>
        <v>-</v>
      </c>
    </row>
    <row r="26" spans="1:19" s="4" customFormat="1" ht="11.25" customHeight="1" x14ac:dyDescent="0.15">
      <c r="A26" s="305"/>
      <c r="B26" s="114"/>
      <c r="C26" s="91"/>
      <c r="D26" s="51"/>
      <c r="E26" s="19"/>
      <c r="F26" s="39"/>
      <c r="G26" s="264"/>
      <c r="H26" s="284"/>
      <c r="I26" s="282"/>
      <c r="J26" s="60" t="s">
        <v>183</v>
      </c>
      <c r="K26" s="26" t="s">
        <v>75</v>
      </c>
      <c r="L26" s="80" t="s">
        <v>110</v>
      </c>
      <c r="M26" s="266"/>
      <c r="N26" s="286"/>
      <c r="O26" s="295"/>
      <c r="P26" s="60" t="s">
        <v>183</v>
      </c>
      <c r="Q26" s="26" t="s">
        <v>75</v>
      </c>
      <c r="R26" s="80" t="s">
        <v>184</v>
      </c>
      <c r="S26" s="317"/>
    </row>
    <row r="27" spans="1:19" s="5" customFormat="1" ht="11.25" customHeight="1" x14ac:dyDescent="0.15">
      <c r="A27" s="305"/>
      <c r="B27" s="114"/>
      <c r="C27" s="91"/>
      <c r="D27" s="51"/>
      <c r="E27" s="19"/>
      <c r="F27" s="39"/>
      <c r="G27" s="264"/>
      <c r="H27" s="283" t="s">
        <v>52</v>
      </c>
      <c r="I27" s="281" t="s">
        <v>185</v>
      </c>
      <c r="J27" s="63" t="s">
        <v>186</v>
      </c>
      <c r="K27" s="32" t="s">
        <v>187</v>
      </c>
      <c r="L27" s="62" t="s">
        <v>188</v>
      </c>
      <c r="M27" s="265" t="s">
        <v>119</v>
      </c>
      <c r="N27" s="285" t="s">
        <v>52</v>
      </c>
      <c r="O27" s="281" t="s">
        <v>189</v>
      </c>
      <c r="P27" s="27" t="s">
        <v>190</v>
      </c>
      <c r="Q27" s="32" t="s">
        <v>191</v>
      </c>
      <c r="R27" s="62" t="s">
        <v>192</v>
      </c>
      <c r="S27" s="265" t="s">
        <v>119</v>
      </c>
    </row>
    <row r="28" spans="1:19" s="4" customFormat="1" ht="11.25" customHeight="1" x14ac:dyDescent="0.15">
      <c r="A28" s="305"/>
      <c r="B28" s="114"/>
      <c r="C28" s="91"/>
      <c r="D28" s="51"/>
      <c r="E28" s="19"/>
      <c r="F28" s="39"/>
      <c r="G28" s="264"/>
      <c r="H28" s="284"/>
      <c r="I28" s="282"/>
      <c r="J28" s="109" t="s">
        <v>193</v>
      </c>
      <c r="K28" s="32" t="s">
        <v>78</v>
      </c>
      <c r="L28" s="80" t="s">
        <v>194</v>
      </c>
      <c r="M28" s="266"/>
      <c r="N28" s="286"/>
      <c r="O28" s="323"/>
      <c r="P28" s="115" t="s">
        <v>195</v>
      </c>
      <c r="Q28" s="67" t="s">
        <v>76</v>
      </c>
      <c r="R28" s="80" t="s">
        <v>196</v>
      </c>
      <c r="S28" s="266"/>
    </row>
    <row r="29" spans="1:19" s="5" customFormat="1" ht="11.25" customHeight="1" x14ac:dyDescent="0.15">
      <c r="A29" s="305"/>
      <c r="B29" s="114"/>
      <c r="C29" s="91"/>
      <c r="D29" s="51"/>
      <c r="E29" s="19"/>
      <c r="F29" s="39"/>
      <c r="G29" s="264"/>
      <c r="H29" s="283" t="s">
        <v>52</v>
      </c>
      <c r="I29" s="281" t="s">
        <v>197</v>
      </c>
      <c r="J29" s="63" t="s">
        <v>198</v>
      </c>
      <c r="K29" s="116" t="s">
        <v>71</v>
      </c>
      <c r="L29" s="62" t="s">
        <v>199</v>
      </c>
      <c r="M29" s="265" t="s">
        <v>119</v>
      </c>
      <c r="N29" s="285" t="s">
        <v>52</v>
      </c>
      <c r="O29" s="281" t="s">
        <v>200</v>
      </c>
      <c r="P29" s="27" t="s">
        <v>201</v>
      </c>
      <c r="Q29" s="32" t="s">
        <v>187</v>
      </c>
      <c r="R29" s="62" t="s">
        <v>202</v>
      </c>
      <c r="S29" s="265" t="s">
        <v>119</v>
      </c>
    </row>
    <row r="30" spans="1:19" s="4" customFormat="1" ht="11.25" customHeight="1" x14ac:dyDescent="0.15">
      <c r="A30" s="305"/>
      <c r="B30" s="114"/>
      <c r="C30" s="91"/>
      <c r="D30" s="51"/>
      <c r="E30" s="19"/>
      <c r="F30" s="39"/>
      <c r="G30" s="264"/>
      <c r="H30" s="284"/>
      <c r="I30" s="282"/>
      <c r="J30" s="109" t="s">
        <v>203</v>
      </c>
      <c r="K30" s="26" t="s">
        <v>72</v>
      </c>
      <c r="L30" s="80" t="s">
        <v>204</v>
      </c>
      <c r="M30" s="266"/>
      <c r="N30" s="286"/>
      <c r="O30" s="323"/>
      <c r="P30" s="115" t="s">
        <v>205</v>
      </c>
      <c r="Q30" s="26" t="s">
        <v>206</v>
      </c>
      <c r="R30" s="80" t="s">
        <v>207</v>
      </c>
      <c r="S30" s="266"/>
    </row>
    <row r="31" spans="1:19" s="4" customFormat="1" ht="11.25" customHeight="1" x14ac:dyDescent="0.15">
      <c r="A31" s="305"/>
      <c r="B31" s="114"/>
      <c r="C31" s="91"/>
      <c r="D31" s="51"/>
      <c r="E31" s="19"/>
      <c r="F31" s="39"/>
      <c r="G31" s="264"/>
      <c r="H31" s="117" t="s">
        <v>208</v>
      </c>
      <c r="I31" s="118"/>
      <c r="J31" s="119"/>
      <c r="K31" s="83"/>
      <c r="L31" s="82"/>
      <c r="M31" s="267"/>
      <c r="N31" s="248" t="s">
        <v>208</v>
      </c>
      <c r="O31" s="118"/>
      <c r="P31" s="74"/>
      <c r="Q31" s="54"/>
      <c r="R31" s="82"/>
      <c r="S31" s="267"/>
    </row>
    <row r="32" spans="1:19" s="4" customFormat="1" ht="12" customHeight="1" thickBot="1" x14ac:dyDescent="0.2">
      <c r="A32" s="306"/>
      <c r="B32" s="120"/>
      <c r="C32" s="95"/>
      <c r="D32" s="50"/>
      <c r="E32" s="121"/>
      <c r="F32" s="122"/>
      <c r="G32" s="339"/>
      <c r="H32" s="123" t="s">
        <v>209</v>
      </c>
      <c r="I32" s="124"/>
      <c r="J32" s="78"/>
      <c r="K32" s="79"/>
      <c r="L32" s="34"/>
      <c r="M32" s="268"/>
      <c r="N32" s="249" t="s">
        <v>209</v>
      </c>
      <c r="O32" s="124"/>
      <c r="P32" s="78"/>
      <c r="Q32" s="79"/>
      <c r="R32" s="34"/>
      <c r="S32" s="268"/>
    </row>
    <row r="33" spans="1:19" s="5" customFormat="1" ht="11.25" customHeight="1" x14ac:dyDescent="0.15">
      <c r="A33" s="305">
        <v>2</v>
      </c>
      <c r="B33" s="418" t="s">
        <v>51</v>
      </c>
      <c r="C33" s="338">
        <v>881210</v>
      </c>
      <c r="D33" s="30" t="s">
        <v>210</v>
      </c>
      <c r="E33" s="125" t="s">
        <v>211</v>
      </c>
      <c r="F33" s="82" t="s">
        <v>118</v>
      </c>
      <c r="G33" s="324" t="s">
        <v>119</v>
      </c>
      <c r="H33" s="395" t="s">
        <v>52</v>
      </c>
      <c r="I33" s="323" t="s">
        <v>137</v>
      </c>
      <c r="J33" s="25" t="s">
        <v>138</v>
      </c>
      <c r="K33" s="59" t="s">
        <v>212</v>
      </c>
      <c r="L33" s="59" t="s">
        <v>126</v>
      </c>
      <c r="M33" s="269" t="s">
        <v>119</v>
      </c>
      <c r="N33" s="421" t="s">
        <v>52</v>
      </c>
      <c r="O33" s="341" t="s">
        <v>213</v>
      </c>
      <c r="P33" s="126" t="s">
        <v>99</v>
      </c>
      <c r="Q33" s="51" t="s">
        <v>79</v>
      </c>
      <c r="R33" s="127" t="s">
        <v>214</v>
      </c>
      <c r="S33" s="269" t="s">
        <v>119</v>
      </c>
    </row>
    <row r="34" spans="1:19" s="4" customFormat="1" ht="11.25" customHeight="1" x14ac:dyDescent="0.15">
      <c r="A34" s="305"/>
      <c r="B34" s="415"/>
      <c r="C34" s="402"/>
      <c r="D34" s="56" t="s">
        <v>215</v>
      </c>
      <c r="E34" s="128"/>
      <c r="F34" s="129" t="s">
        <v>216</v>
      </c>
      <c r="G34" s="312"/>
      <c r="H34" s="284"/>
      <c r="I34" s="282"/>
      <c r="J34" s="60" t="s">
        <v>140</v>
      </c>
      <c r="K34" s="80" t="s">
        <v>217</v>
      </c>
      <c r="L34" s="31" t="s">
        <v>135</v>
      </c>
      <c r="M34" s="266"/>
      <c r="N34" s="421"/>
      <c r="O34" s="340"/>
      <c r="P34" s="69" t="s">
        <v>218</v>
      </c>
      <c r="Q34" s="20" t="s">
        <v>7</v>
      </c>
      <c r="R34" s="130" t="s">
        <v>67</v>
      </c>
      <c r="S34" s="266"/>
    </row>
    <row r="35" spans="1:19" s="5" customFormat="1" ht="11.25" customHeight="1" x14ac:dyDescent="0.15">
      <c r="A35" s="305"/>
      <c r="B35" s="416" t="s">
        <v>100</v>
      </c>
      <c r="C35" s="401">
        <v>881266</v>
      </c>
      <c r="D35" s="48" t="s">
        <v>219</v>
      </c>
      <c r="E35" s="408" t="s">
        <v>220</v>
      </c>
      <c r="F35" s="131" t="s">
        <v>214</v>
      </c>
      <c r="G35" s="312" t="s">
        <v>119</v>
      </c>
      <c r="H35" s="325" t="s">
        <v>52</v>
      </c>
      <c r="I35" s="340" t="s">
        <v>221</v>
      </c>
      <c r="J35" s="132" t="s">
        <v>222</v>
      </c>
      <c r="K35" s="51" t="s">
        <v>79</v>
      </c>
      <c r="L35" s="133" t="s">
        <v>214</v>
      </c>
      <c r="M35" s="265" t="s">
        <v>119</v>
      </c>
      <c r="N35" s="325" t="s">
        <v>52</v>
      </c>
      <c r="O35" s="340" t="s">
        <v>223</v>
      </c>
      <c r="P35" s="134" t="s">
        <v>224</v>
      </c>
      <c r="Q35" s="70" t="s">
        <v>225</v>
      </c>
      <c r="R35" s="135" t="s">
        <v>175</v>
      </c>
      <c r="S35" s="265" t="s">
        <v>119</v>
      </c>
    </row>
    <row r="36" spans="1:19" s="5" customFormat="1" ht="12" customHeight="1" x14ac:dyDescent="0.15">
      <c r="A36" s="305"/>
      <c r="B36" s="417"/>
      <c r="C36" s="402"/>
      <c r="D36" s="56" t="s">
        <v>226</v>
      </c>
      <c r="E36" s="409"/>
      <c r="F36" s="136" t="s">
        <v>67</v>
      </c>
      <c r="G36" s="312"/>
      <c r="H36" s="326"/>
      <c r="I36" s="341"/>
      <c r="J36" s="137" t="s">
        <v>80</v>
      </c>
      <c r="K36" s="20" t="s">
        <v>7</v>
      </c>
      <c r="L36" s="138" t="s">
        <v>67</v>
      </c>
      <c r="M36" s="266"/>
      <c r="N36" s="326"/>
      <c r="O36" s="341"/>
      <c r="P36" s="139" t="s">
        <v>227</v>
      </c>
      <c r="Q36" s="89" t="s">
        <v>228</v>
      </c>
      <c r="R36" s="140" t="s">
        <v>229</v>
      </c>
      <c r="S36" s="266"/>
    </row>
    <row r="37" spans="1:19" s="5" customFormat="1" ht="11.25" customHeight="1" x14ac:dyDescent="0.15">
      <c r="A37" s="305"/>
      <c r="B37" s="307"/>
      <c r="C37" s="91"/>
      <c r="D37" s="53"/>
      <c r="E37" s="141"/>
      <c r="F37" s="55"/>
      <c r="G37" s="264"/>
      <c r="H37" s="142"/>
      <c r="I37" s="53"/>
      <c r="J37" s="53"/>
      <c r="K37" s="53"/>
      <c r="L37" s="42"/>
      <c r="M37" s="267"/>
      <c r="N37" s="337" t="s">
        <v>51</v>
      </c>
      <c r="O37" s="338">
        <v>881225</v>
      </c>
      <c r="P37" s="51" t="s">
        <v>230</v>
      </c>
      <c r="Q37" s="83" t="s">
        <v>117</v>
      </c>
      <c r="R37" s="42" t="s">
        <v>231</v>
      </c>
      <c r="S37" s="265" t="s">
        <v>119</v>
      </c>
    </row>
    <row r="38" spans="1:19" s="5" customFormat="1" ht="12" thickBot="1" x14ac:dyDescent="0.2">
      <c r="A38" s="305"/>
      <c r="B38" s="307"/>
      <c r="C38" s="91"/>
      <c r="D38" s="53"/>
      <c r="E38" s="141"/>
      <c r="F38" s="55"/>
      <c r="G38" s="339"/>
      <c r="H38" s="142"/>
      <c r="I38" s="53"/>
      <c r="J38" s="53"/>
      <c r="K38" s="53"/>
      <c r="L38" s="42"/>
      <c r="M38" s="268"/>
      <c r="N38" s="337"/>
      <c r="O38" s="338"/>
      <c r="P38" s="51" t="s">
        <v>232</v>
      </c>
      <c r="Q38" s="54" t="s">
        <v>58</v>
      </c>
      <c r="R38" s="42" t="s">
        <v>233</v>
      </c>
      <c r="S38" s="336"/>
    </row>
    <row r="39" spans="1:19" s="5" customFormat="1" ht="11.25" customHeight="1" x14ac:dyDescent="0.15">
      <c r="A39" s="304">
        <v>3</v>
      </c>
      <c r="B39" s="414" t="s">
        <v>51</v>
      </c>
      <c r="C39" s="410">
        <v>881219</v>
      </c>
      <c r="D39" s="68" t="s">
        <v>234</v>
      </c>
      <c r="E39" s="143" t="s">
        <v>235</v>
      </c>
      <c r="F39" s="108" t="s">
        <v>236</v>
      </c>
      <c r="G39" s="324" t="s">
        <v>119</v>
      </c>
      <c r="H39" s="397" t="s">
        <v>52</v>
      </c>
      <c r="I39" s="294" t="s">
        <v>237</v>
      </c>
      <c r="J39" s="144" t="s">
        <v>238</v>
      </c>
      <c r="K39" s="35" t="s">
        <v>82</v>
      </c>
      <c r="L39" s="33" t="s">
        <v>239</v>
      </c>
      <c r="M39" s="269" t="s">
        <v>119</v>
      </c>
      <c r="N39" s="321" t="s">
        <v>52</v>
      </c>
      <c r="O39" s="318" t="s">
        <v>240</v>
      </c>
      <c r="P39" s="145" t="s">
        <v>241</v>
      </c>
      <c r="Q39" s="146" t="s">
        <v>242</v>
      </c>
      <c r="R39" s="36" t="s">
        <v>214</v>
      </c>
      <c r="S39" s="269" t="s">
        <v>119</v>
      </c>
    </row>
    <row r="40" spans="1:19" s="4" customFormat="1" ht="12" customHeight="1" x14ac:dyDescent="0.15">
      <c r="A40" s="305"/>
      <c r="B40" s="415"/>
      <c r="C40" s="402"/>
      <c r="D40" s="20" t="s">
        <v>243</v>
      </c>
      <c r="E40" s="147" t="s">
        <v>244</v>
      </c>
      <c r="F40" s="148" t="s">
        <v>245</v>
      </c>
      <c r="G40" s="312"/>
      <c r="H40" s="398"/>
      <c r="I40" s="291"/>
      <c r="J40" s="149" t="s">
        <v>246</v>
      </c>
      <c r="K40" s="77" t="s">
        <v>83</v>
      </c>
      <c r="L40" s="43" t="s">
        <v>247</v>
      </c>
      <c r="M40" s="266"/>
      <c r="N40" s="322"/>
      <c r="O40" s="319"/>
      <c r="P40" s="150" t="s">
        <v>248</v>
      </c>
      <c r="Q40" s="150" t="s">
        <v>249</v>
      </c>
      <c r="R40" s="151" t="s">
        <v>67</v>
      </c>
      <c r="S40" s="266"/>
    </row>
    <row r="41" spans="1:19" s="5" customFormat="1" ht="11.25" customHeight="1" x14ac:dyDescent="0.15">
      <c r="A41" s="305"/>
      <c r="B41" s="419"/>
      <c r="C41" s="262"/>
      <c r="D41" s="53"/>
      <c r="E41" s="83"/>
      <c r="F41" s="135"/>
      <c r="G41" s="264"/>
      <c r="H41" s="293"/>
      <c r="I41" s="270"/>
      <c r="J41" s="152"/>
      <c r="K41" s="153"/>
      <c r="L41" s="72"/>
      <c r="M41" s="267"/>
      <c r="N41" s="320" t="s">
        <v>52</v>
      </c>
      <c r="O41" s="270" t="s">
        <v>250</v>
      </c>
      <c r="P41" s="73" t="s">
        <v>251</v>
      </c>
      <c r="Q41" s="84" t="s">
        <v>9</v>
      </c>
      <c r="R41" s="41" t="s">
        <v>102</v>
      </c>
      <c r="S41" s="265" t="s">
        <v>119</v>
      </c>
    </row>
    <row r="42" spans="1:19" s="5" customFormat="1" ht="11.25" customHeight="1" thickBot="1" x14ac:dyDescent="0.2">
      <c r="A42" s="306"/>
      <c r="B42" s="420"/>
      <c r="C42" s="290"/>
      <c r="D42" s="78"/>
      <c r="E42" s="79"/>
      <c r="F42" s="154"/>
      <c r="G42" s="339"/>
      <c r="H42" s="396"/>
      <c r="I42" s="271"/>
      <c r="J42" s="155"/>
      <c r="K42" s="156"/>
      <c r="L42" s="157"/>
      <c r="M42" s="268"/>
      <c r="N42" s="320"/>
      <c r="O42" s="291"/>
      <c r="P42" s="158" t="s">
        <v>252</v>
      </c>
      <c r="Q42" s="90" t="s">
        <v>14</v>
      </c>
      <c r="R42" s="41" t="s">
        <v>103</v>
      </c>
      <c r="S42" s="265"/>
    </row>
    <row r="43" spans="1:19" s="5" customFormat="1" ht="11.25" customHeight="1" x14ac:dyDescent="0.15">
      <c r="A43" s="304">
        <v>4</v>
      </c>
      <c r="B43" s="414" t="s">
        <v>51</v>
      </c>
      <c r="C43" s="410">
        <v>881205</v>
      </c>
      <c r="D43" s="21" t="s">
        <v>253</v>
      </c>
      <c r="E43" s="21" t="s">
        <v>254</v>
      </c>
      <c r="F43" s="159" t="s">
        <v>214</v>
      </c>
      <c r="G43" s="324" t="s">
        <v>119</v>
      </c>
      <c r="H43" s="397" t="s">
        <v>52</v>
      </c>
      <c r="I43" s="294" t="s">
        <v>255</v>
      </c>
      <c r="J43" s="75" t="s">
        <v>256</v>
      </c>
      <c r="K43" s="76" t="s">
        <v>53</v>
      </c>
      <c r="L43" s="33" t="s">
        <v>84</v>
      </c>
      <c r="M43" s="269" t="s">
        <v>119</v>
      </c>
      <c r="N43" s="292" t="s">
        <v>52</v>
      </c>
      <c r="O43" s="294" t="s">
        <v>257</v>
      </c>
      <c r="P43" s="35" t="s">
        <v>258</v>
      </c>
      <c r="Q43" s="85" t="s">
        <v>259</v>
      </c>
      <c r="R43" s="160" t="s">
        <v>202</v>
      </c>
      <c r="S43" s="324" t="s">
        <v>119</v>
      </c>
    </row>
    <row r="44" spans="1:19" s="5" customFormat="1" ht="11.25" customHeight="1" x14ac:dyDescent="0.15">
      <c r="A44" s="305"/>
      <c r="B44" s="415"/>
      <c r="C44" s="402"/>
      <c r="D44" s="89" t="s">
        <v>260</v>
      </c>
      <c r="E44" s="20" t="s">
        <v>261</v>
      </c>
      <c r="F44" s="161" t="s">
        <v>67</v>
      </c>
      <c r="G44" s="312"/>
      <c r="H44" s="398"/>
      <c r="I44" s="270"/>
      <c r="J44" s="73" t="s">
        <v>262</v>
      </c>
      <c r="K44" s="162" t="s">
        <v>54</v>
      </c>
      <c r="L44" s="43" t="s">
        <v>85</v>
      </c>
      <c r="M44" s="266"/>
      <c r="N44" s="293"/>
      <c r="O44" s="291"/>
      <c r="P44" s="163" t="s">
        <v>263</v>
      </c>
      <c r="Q44" s="90" t="s">
        <v>264</v>
      </c>
      <c r="R44" s="164" t="s">
        <v>207</v>
      </c>
      <c r="S44" s="312"/>
    </row>
    <row r="45" spans="1:19" s="5" customFormat="1" ht="11.25" customHeight="1" x14ac:dyDescent="0.15">
      <c r="A45" s="305"/>
      <c r="B45" s="165"/>
      <c r="C45" s="92"/>
      <c r="D45" s="70"/>
      <c r="E45" s="51"/>
      <c r="F45" s="166"/>
      <c r="G45" s="264"/>
      <c r="H45" s="411" t="s">
        <v>52</v>
      </c>
      <c r="I45" s="262" t="s">
        <v>265</v>
      </c>
      <c r="J45" s="167" t="s">
        <v>266</v>
      </c>
      <c r="K45" s="48" t="s">
        <v>267</v>
      </c>
      <c r="L45" s="168" t="s">
        <v>214</v>
      </c>
      <c r="M45" s="265" t="s">
        <v>119</v>
      </c>
      <c r="N45" s="169"/>
      <c r="O45" s="94"/>
      <c r="P45" s="153"/>
      <c r="Q45" s="84"/>
      <c r="R45" s="170"/>
      <c r="S45" s="264"/>
    </row>
    <row r="46" spans="1:19" s="4" customFormat="1" ht="12" customHeight="1" x14ac:dyDescent="0.15">
      <c r="A46" s="305"/>
      <c r="B46" s="165"/>
      <c r="C46" s="92"/>
      <c r="D46" s="70"/>
      <c r="E46" s="51"/>
      <c r="F46" s="166"/>
      <c r="G46" s="264"/>
      <c r="H46" s="400"/>
      <c r="I46" s="263"/>
      <c r="J46" s="171" t="s">
        <v>268</v>
      </c>
      <c r="K46" s="56" t="s">
        <v>269</v>
      </c>
      <c r="L46" s="151" t="s">
        <v>67</v>
      </c>
      <c r="M46" s="266"/>
      <c r="N46" s="169"/>
      <c r="O46" s="94"/>
      <c r="P46" s="153"/>
      <c r="Q46" s="84"/>
      <c r="R46" s="170"/>
      <c r="S46" s="264"/>
    </row>
    <row r="47" spans="1:19" s="5" customFormat="1" ht="11.25" customHeight="1" x14ac:dyDescent="0.15">
      <c r="A47" s="305"/>
      <c r="B47" s="347"/>
      <c r="C47" s="93"/>
      <c r="D47" s="74"/>
      <c r="E47" s="83"/>
      <c r="F47" s="82"/>
      <c r="G47" s="264"/>
      <c r="H47" s="287" t="s">
        <v>51</v>
      </c>
      <c r="I47" s="289" t="s">
        <v>270</v>
      </c>
      <c r="J47" s="172" t="s">
        <v>271</v>
      </c>
      <c r="K47" s="51" t="s">
        <v>272</v>
      </c>
      <c r="L47" s="55" t="s">
        <v>273</v>
      </c>
      <c r="M47" s="265" t="s">
        <v>119</v>
      </c>
      <c r="N47" s="342"/>
      <c r="O47" s="412"/>
      <c r="P47" s="47"/>
      <c r="Q47" s="48"/>
      <c r="R47" s="173"/>
      <c r="S47" s="264"/>
    </row>
    <row r="48" spans="1:19" s="5" customFormat="1" ht="11.25" customHeight="1" thickBot="1" x14ac:dyDescent="0.2">
      <c r="A48" s="306"/>
      <c r="B48" s="404"/>
      <c r="C48" s="95"/>
      <c r="D48" s="78"/>
      <c r="E48" s="79"/>
      <c r="F48" s="34"/>
      <c r="G48" s="339"/>
      <c r="H48" s="288"/>
      <c r="I48" s="290"/>
      <c r="J48" s="174" t="s">
        <v>274</v>
      </c>
      <c r="K48" s="78" t="s">
        <v>275</v>
      </c>
      <c r="L48" s="40" t="s">
        <v>233</v>
      </c>
      <c r="M48" s="265"/>
      <c r="N48" s="343"/>
      <c r="O48" s="413"/>
      <c r="P48" s="71"/>
      <c r="Q48" s="50"/>
      <c r="R48" s="175"/>
      <c r="S48" s="339"/>
    </row>
    <row r="49" spans="1:19" s="5" customFormat="1" ht="11.25" customHeight="1" x14ac:dyDescent="0.15">
      <c r="A49" s="305">
        <v>5</v>
      </c>
      <c r="B49" s="307"/>
      <c r="C49" s="357"/>
      <c r="D49" s="45"/>
      <c r="E49" s="54"/>
      <c r="F49" s="55"/>
      <c r="G49" s="303"/>
      <c r="H49" s="399" t="s">
        <v>81</v>
      </c>
      <c r="I49" s="314" t="s">
        <v>64</v>
      </c>
      <c r="J49" s="21" t="s">
        <v>276</v>
      </c>
      <c r="K49" s="176" t="s">
        <v>277</v>
      </c>
      <c r="L49" s="22" t="s">
        <v>214</v>
      </c>
      <c r="M49" s="269" t="s">
        <v>119</v>
      </c>
      <c r="N49" s="344" t="s">
        <v>81</v>
      </c>
      <c r="O49" s="294" t="s">
        <v>278</v>
      </c>
      <c r="P49" s="75" t="s">
        <v>279</v>
      </c>
      <c r="Q49" s="75" t="s">
        <v>104</v>
      </c>
      <c r="R49" s="177" t="s">
        <v>280</v>
      </c>
      <c r="S49" s="265" t="s">
        <v>119</v>
      </c>
    </row>
    <row r="50" spans="1:19" s="5" customFormat="1" ht="12" customHeight="1" x14ac:dyDescent="0.15">
      <c r="A50" s="305"/>
      <c r="B50" s="348"/>
      <c r="C50" s="358"/>
      <c r="D50" s="24"/>
      <c r="E50" s="57"/>
      <c r="F50" s="58"/>
      <c r="G50" s="264"/>
      <c r="H50" s="400"/>
      <c r="I50" s="263"/>
      <c r="J50" s="81" t="s">
        <v>281</v>
      </c>
      <c r="K50" s="178" t="s">
        <v>282</v>
      </c>
      <c r="L50" s="151" t="s">
        <v>67</v>
      </c>
      <c r="M50" s="266"/>
      <c r="N50" s="345"/>
      <c r="O50" s="270"/>
      <c r="P50" s="73" t="s">
        <v>283</v>
      </c>
      <c r="Q50" s="73" t="s">
        <v>8</v>
      </c>
      <c r="R50" s="43" t="s">
        <v>284</v>
      </c>
      <c r="S50" s="266"/>
    </row>
    <row r="51" spans="1:19" s="5" customFormat="1" ht="11.25" x14ac:dyDescent="0.15">
      <c r="A51" s="305"/>
      <c r="B51" s="307"/>
      <c r="C51" s="93"/>
      <c r="D51" s="47"/>
      <c r="E51" s="179"/>
      <c r="F51" s="141"/>
      <c r="G51" s="264"/>
      <c r="H51" s="422"/>
      <c r="I51" s="357"/>
      <c r="J51" s="45"/>
      <c r="K51" s="54"/>
      <c r="L51" s="55"/>
      <c r="M51" s="267"/>
      <c r="N51" s="423" t="s">
        <v>51</v>
      </c>
      <c r="O51" s="262" t="s">
        <v>285</v>
      </c>
      <c r="P51" s="74" t="s">
        <v>286</v>
      </c>
      <c r="Q51" s="83" t="s">
        <v>287</v>
      </c>
      <c r="R51" s="23" t="s">
        <v>214</v>
      </c>
      <c r="S51" s="265" t="s">
        <v>119</v>
      </c>
    </row>
    <row r="52" spans="1:19" ht="14.25" thickBot="1" x14ac:dyDescent="0.2">
      <c r="A52" s="306"/>
      <c r="B52" s="404"/>
      <c r="C52" s="95"/>
      <c r="D52" s="71"/>
      <c r="E52" s="180"/>
      <c r="F52" s="175"/>
      <c r="G52" s="339"/>
      <c r="H52" s="343"/>
      <c r="I52" s="413"/>
      <c r="J52" s="181"/>
      <c r="K52" s="79"/>
      <c r="L52" s="34"/>
      <c r="M52" s="268"/>
      <c r="N52" s="424"/>
      <c r="O52" s="290"/>
      <c r="P52" s="78" t="s">
        <v>288</v>
      </c>
      <c r="Q52" s="79" t="s">
        <v>289</v>
      </c>
      <c r="R52" s="182" t="s">
        <v>67</v>
      </c>
      <c r="S52" s="336"/>
    </row>
    <row r="53" spans="1:19" ht="14.25" customHeight="1" x14ac:dyDescent="0.15">
      <c r="A53" s="183"/>
      <c r="B53" s="6"/>
      <c r="C53" s="184"/>
      <c r="D53" s="185"/>
      <c r="E53" s="186"/>
      <c r="F53" s="187"/>
      <c r="G53" s="187"/>
      <c r="H53" s="6"/>
      <c r="I53" s="184"/>
      <c r="J53" s="185"/>
      <c r="K53" s="141"/>
      <c r="L53" s="141"/>
      <c r="M53" s="141"/>
      <c r="O53" s="188"/>
      <c r="P53" s="189"/>
      <c r="Q53" s="190"/>
      <c r="R53" s="190"/>
      <c r="S53" s="190"/>
    </row>
    <row r="54" spans="1:19" s="7" customFormat="1" ht="15" thickBot="1" x14ac:dyDescent="0.2">
      <c r="A54" s="191"/>
      <c r="B54" s="6"/>
      <c r="E54" s="8"/>
      <c r="F54" s="8"/>
      <c r="G54" s="8"/>
      <c r="H54" s="6"/>
      <c r="K54" s="8"/>
      <c r="L54" s="8"/>
      <c r="M54" s="8"/>
      <c r="N54" s="6"/>
      <c r="O54" s="192"/>
      <c r="P54" s="192"/>
      <c r="Q54" s="193"/>
      <c r="R54" s="193"/>
      <c r="S54" s="193"/>
    </row>
    <row r="55" spans="1:19" s="7" customFormat="1" ht="15" thickBot="1" x14ac:dyDescent="0.2">
      <c r="A55" s="98" t="s">
        <v>19</v>
      </c>
      <c r="B55" s="296" t="s">
        <v>24</v>
      </c>
      <c r="C55" s="297"/>
      <c r="D55" s="297"/>
      <c r="E55" s="297"/>
      <c r="F55" s="298"/>
      <c r="G55" s="194"/>
      <c r="H55" s="299" t="s">
        <v>20</v>
      </c>
      <c r="I55" s="300"/>
      <c r="J55" s="300"/>
      <c r="K55" s="300"/>
      <c r="L55" s="300"/>
      <c r="M55" s="301"/>
      <c r="N55" s="195"/>
      <c r="O55" s="196"/>
      <c r="P55" s="196"/>
      <c r="Q55" s="197"/>
      <c r="R55" s="197"/>
      <c r="S55" s="198"/>
    </row>
    <row r="56" spans="1:19" s="7" customFormat="1" ht="23.25" thickBot="1" x14ac:dyDescent="0.2">
      <c r="A56" s="98" t="s">
        <v>22</v>
      </c>
      <c r="B56" s="99" t="s">
        <v>23</v>
      </c>
      <c r="C56" s="3" t="s">
        <v>15</v>
      </c>
      <c r="D56" s="100" t="s">
        <v>16</v>
      </c>
      <c r="E56" s="101" t="s">
        <v>17</v>
      </c>
      <c r="F56" s="102" t="s">
        <v>18</v>
      </c>
      <c r="G56" s="103" t="s">
        <v>123</v>
      </c>
      <c r="H56" s="199" t="s">
        <v>23</v>
      </c>
      <c r="I56" s="200" t="s">
        <v>15</v>
      </c>
      <c r="J56" s="201" t="s">
        <v>16</v>
      </c>
      <c r="K56" s="202" t="s">
        <v>17</v>
      </c>
      <c r="L56" s="203" t="s">
        <v>18</v>
      </c>
      <c r="M56" s="204" t="s">
        <v>123</v>
      </c>
      <c r="N56" s="6"/>
      <c r="O56" s="205"/>
      <c r="P56" s="205"/>
      <c r="Q56" s="187"/>
      <c r="R56" s="187"/>
      <c r="S56" s="8"/>
    </row>
    <row r="57" spans="1:19" s="10" customFormat="1" ht="11.25" customHeight="1" x14ac:dyDescent="0.15">
      <c r="A57" s="436">
        <v>1</v>
      </c>
      <c r="B57" s="302" t="s">
        <v>52</v>
      </c>
      <c r="C57" s="316" t="s">
        <v>124</v>
      </c>
      <c r="D57" s="86" t="s">
        <v>125</v>
      </c>
      <c r="E57" s="87" t="s">
        <v>105</v>
      </c>
      <c r="F57" s="87" t="s">
        <v>145</v>
      </c>
      <c r="G57" s="335" t="str">
        <f>IF($M11=0, "", $M9)</f>
        <v>-</v>
      </c>
      <c r="H57" s="393" t="s">
        <v>52</v>
      </c>
      <c r="I57" s="346" t="s">
        <v>290</v>
      </c>
      <c r="J57" s="46" t="s">
        <v>291</v>
      </c>
      <c r="K57" s="21" t="s">
        <v>113</v>
      </c>
      <c r="L57" s="159" t="s">
        <v>214</v>
      </c>
      <c r="M57" s="335" t="str">
        <f>IF(G81=0, "", G81)</f>
        <v>-</v>
      </c>
      <c r="N57" s="6"/>
      <c r="O57" s="185"/>
      <c r="P57" s="185"/>
      <c r="Q57" s="187"/>
      <c r="R57" s="187"/>
      <c r="S57" s="141"/>
    </row>
    <row r="58" spans="1:19" s="7" customFormat="1" ht="11.25" customHeight="1" x14ac:dyDescent="0.15">
      <c r="A58" s="349"/>
      <c r="B58" s="286"/>
      <c r="C58" s="282"/>
      <c r="D58" s="60" t="s">
        <v>128</v>
      </c>
      <c r="E58" s="59" t="s">
        <v>106</v>
      </c>
      <c r="F58" s="80" t="s">
        <v>160</v>
      </c>
      <c r="G58" s="317"/>
      <c r="H58" s="394"/>
      <c r="I58" s="341"/>
      <c r="J58" s="88" t="s">
        <v>292</v>
      </c>
      <c r="K58" s="20" t="s">
        <v>114</v>
      </c>
      <c r="L58" s="161" t="s">
        <v>67</v>
      </c>
      <c r="M58" s="317"/>
      <c r="N58" s="6"/>
      <c r="O58" s="185"/>
      <c r="P58" s="185"/>
      <c r="Q58" s="187"/>
      <c r="R58" s="187"/>
      <c r="S58" s="141"/>
    </row>
    <row r="59" spans="1:19" s="10" customFormat="1" ht="11.25" customHeight="1" x14ac:dyDescent="0.15">
      <c r="A59" s="349"/>
      <c r="B59" s="285" t="s">
        <v>52</v>
      </c>
      <c r="C59" s="281" t="s">
        <v>131</v>
      </c>
      <c r="D59" s="61" t="s">
        <v>132</v>
      </c>
      <c r="E59" s="62" t="s">
        <v>88</v>
      </c>
      <c r="F59" s="62" t="s">
        <v>293</v>
      </c>
      <c r="G59" s="317" t="str">
        <f>IF($M11=0, "", $M11)</f>
        <v>-</v>
      </c>
      <c r="H59" s="347"/>
      <c r="I59" s="262"/>
      <c r="J59" s="206"/>
      <c r="K59" s="54"/>
      <c r="L59" s="55"/>
      <c r="M59" s="264"/>
      <c r="N59" s="6"/>
      <c r="O59" s="185"/>
      <c r="P59" s="185"/>
      <c r="Q59" s="187"/>
      <c r="R59" s="187"/>
      <c r="S59" s="141"/>
    </row>
    <row r="60" spans="1:19" s="7" customFormat="1" ht="11.25" x14ac:dyDescent="0.15">
      <c r="A60" s="349"/>
      <c r="B60" s="286"/>
      <c r="C60" s="282"/>
      <c r="D60" s="60" t="s">
        <v>134</v>
      </c>
      <c r="E60" s="59" t="s">
        <v>89</v>
      </c>
      <c r="F60" s="80" t="s">
        <v>96</v>
      </c>
      <c r="G60" s="317"/>
      <c r="H60" s="348"/>
      <c r="I60" s="263"/>
      <c r="J60" s="56"/>
      <c r="K60" s="54"/>
      <c r="L60" s="58"/>
      <c r="M60" s="264"/>
      <c r="N60" s="6"/>
      <c r="O60" s="185"/>
      <c r="P60" s="185"/>
      <c r="Q60" s="187"/>
      <c r="R60" s="187"/>
      <c r="S60" s="141"/>
    </row>
    <row r="61" spans="1:19" s="10" customFormat="1" ht="11.25" customHeight="1" x14ac:dyDescent="0.15">
      <c r="A61" s="349"/>
      <c r="B61" s="285" t="s">
        <v>52</v>
      </c>
      <c r="C61" s="281" t="s">
        <v>137</v>
      </c>
      <c r="D61" s="61" t="s">
        <v>138</v>
      </c>
      <c r="E61" s="66" t="s">
        <v>69</v>
      </c>
      <c r="F61" s="62" t="s">
        <v>294</v>
      </c>
      <c r="G61" s="317" t="str">
        <f>IF($M33=0, "", $M33)</f>
        <v>-</v>
      </c>
      <c r="H61" s="347"/>
      <c r="I61" s="262"/>
      <c r="J61" s="74"/>
      <c r="K61" s="83"/>
      <c r="L61" s="82"/>
      <c r="M61" s="264"/>
      <c r="N61" s="6"/>
      <c r="O61" s="185"/>
      <c r="P61" s="185"/>
      <c r="Q61" s="187"/>
      <c r="R61" s="187"/>
      <c r="S61" s="141"/>
    </row>
    <row r="62" spans="1:19" s="7" customFormat="1" ht="11.25" customHeight="1" x14ac:dyDescent="0.15">
      <c r="A62" s="349"/>
      <c r="B62" s="286"/>
      <c r="C62" s="282"/>
      <c r="D62" s="60" t="s">
        <v>295</v>
      </c>
      <c r="E62" s="26" t="s">
        <v>70</v>
      </c>
      <c r="F62" s="80" t="s">
        <v>109</v>
      </c>
      <c r="G62" s="317"/>
      <c r="H62" s="348"/>
      <c r="I62" s="263"/>
      <c r="J62" s="56"/>
      <c r="K62" s="57"/>
      <c r="L62" s="58"/>
      <c r="M62" s="264"/>
      <c r="N62" s="6"/>
      <c r="O62" s="185"/>
      <c r="P62" s="185"/>
      <c r="Q62" s="187"/>
      <c r="R62" s="187"/>
      <c r="S62" s="141"/>
    </row>
    <row r="63" spans="1:19" s="10" customFormat="1" ht="11.25" customHeight="1" x14ac:dyDescent="0.15">
      <c r="A63" s="349"/>
      <c r="B63" s="285" t="s">
        <v>52</v>
      </c>
      <c r="C63" s="281" t="s">
        <v>141</v>
      </c>
      <c r="D63" s="61" t="s">
        <v>142</v>
      </c>
      <c r="E63" s="66" t="s">
        <v>74</v>
      </c>
      <c r="F63" s="62" t="s">
        <v>296</v>
      </c>
      <c r="G63" s="317" t="str">
        <f>IF($M15=0, "", $M15)</f>
        <v>-</v>
      </c>
      <c r="H63" s="347"/>
      <c r="I63" s="262"/>
      <c r="J63" s="74"/>
      <c r="K63" s="82"/>
      <c r="L63" s="82"/>
      <c r="M63" s="264"/>
      <c r="N63" s="6"/>
      <c r="O63" s="185"/>
      <c r="P63" s="185"/>
      <c r="Q63" s="187"/>
      <c r="R63" s="187"/>
      <c r="S63" s="141"/>
    </row>
    <row r="64" spans="1:19" s="7" customFormat="1" ht="11.25" customHeight="1" x14ac:dyDescent="0.15">
      <c r="A64" s="349"/>
      <c r="B64" s="286"/>
      <c r="C64" s="282"/>
      <c r="D64" s="60" t="s">
        <v>146</v>
      </c>
      <c r="E64" s="26" t="s">
        <v>75</v>
      </c>
      <c r="F64" s="80" t="s">
        <v>297</v>
      </c>
      <c r="G64" s="317"/>
      <c r="H64" s="348"/>
      <c r="I64" s="263"/>
      <c r="J64" s="56"/>
      <c r="K64" s="55"/>
      <c r="L64" s="58"/>
      <c r="M64" s="264"/>
      <c r="N64" s="6"/>
      <c r="O64" s="185"/>
      <c r="P64" s="185"/>
      <c r="Q64" s="187"/>
      <c r="R64" s="187"/>
      <c r="S64" s="141"/>
    </row>
    <row r="65" spans="1:19" s="10" customFormat="1" ht="11.25" customHeight="1" x14ac:dyDescent="0.15">
      <c r="A65" s="349"/>
      <c r="B65" s="285" t="s">
        <v>52</v>
      </c>
      <c r="C65" s="281" t="s">
        <v>149</v>
      </c>
      <c r="D65" s="61" t="s">
        <v>150</v>
      </c>
      <c r="E65" s="66" t="s">
        <v>93</v>
      </c>
      <c r="F65" s="62" t="s">
        <v>298</v>
      </c>
      <c r="G65" s="317" t="str">
        <f>IF($M17=0, "", $M17)</f>
        <v>-</v>
      </c>
      <c r="H65" s="347"/>
      <c r="I65" s="262"/>
      <c r="J65" s="74"/>
      <c r="K65" s="82"/>
      <c r="L65" s="82"/>
      <c r="M65" s="264"/>
      <c r="N65" s="6"/>
      <c r="O65" s="185"/>
      <c r="P65" s="185"/>
      <c r="Q65" s="187"/>
      <c r="R65" s="187"/>
      <c r="S65" s="141"/>
    </row>
    <row r="66" spans="1:19" s="7" customFormat="1" ht="11.25" customHeight="1" x14ac:dyDescent="0.15">
      <c r="A66" s="349"/>
      <c r="B66" s="286"/>
      <c r="C66" s="282"/>
      <c r="D66" s="60" t="s">
        <v>152</v>
      </c>
      <c r="E66" s="26" t="s">
        <v>94</v>
      </c>
      <c r="F66" s="80" t="s">
        <v>111</v>
      </c>
      <c r="G66" s="317"/>
      <c r="H66" s="348"/>
      <c r="I66" s="263"/>
      <c r="J66" s="56"/>
      <c r="K66" s="55"/>
      <c r="L66" s="58"/>
      <c r="M66" s="264"/>
      <c r="N66" s="6"/>
      <c r="O66" s="185"/>
      <c r="P66" s="185"/>
      <c r="Q66" s="187"/>
      <c r="R66" s="187"/>
      <c r="S66" s="141"/>
    </row>
    <row r="67" spans="1:19" s="10" customFormat="1" ht="11.25" customHeight="1" x14ac:dyDescent="0.15">
      <c r="A67" s="349"/>
      <c r="B67" s="403" t="s">
        <v>52</v>
      </c>
      <c r="C67" s="281" t="s">
        <v>153</v>
      </c>
      <c r="D67" s="63" t="s">
        <v>299</v>
      </c>
      <c r="E67" s="66" t="s">
        <v>107</v>
      </c>
      <c r="F67" s="62" t="s">
        <v>300</v>
      </c>
      <c r="G67" s="317" t="str">
        <f>IF($M19=0, "", $M19)</f>
        <v>-</v>
      </c>
      <c r="H67" s="347"/>
      <c r="I67" s="262"/>
      <c r="J67" s="74"/>
      <c r="K67" s="83"/>
      <c r="L67" s="37"/>
      <c r="M67" s="264"/>
      <c r="N67" s="6"/>
      <c r="O67" s="185"/>
      <c r="P67" s="185"/>
      <c r="Q67" s="187"/>
      <c r="R67" s="187"/>
      <c r="S67" s="141"/>
    </row>
    <row r="68" spans="1:19" s="7" customFormat="1" ht="11.25" customHeight="1" x14ac:dyDescent="0.15">
      <c r="A68" s="349"/>
      <c r="B68" s="403"/>
      <c r="C68" s="282"/>
      <c r="D68" s="60" t="s">
        <v>301</v>
      </c>
      <c r="E68" s="26" t="s">
        <v>108</v>
      </c>
      <c r="F68" s="80" t="s">
        <v>302</v>
      </c>
      <c r="G68" s="317"/>
      <c r="H68" s="348"/>
      <c r="I68" s="263"/>
      <c r="J68" s="56"/>
      <c r="K68" s="54"/>
      <c r="L68" s="38"/>
      <c r="M68" s="264"/>
      <c r="N68" s="6"/>
      <c r="O68" s="185"/>
      <c r="P68" s="185"/>
      <c r="Q68" s="187"/>
      <c r="R68" s="187"/>
      <c r="S68" s="141"/>
    </row>
    <row r="69" spans="1:19" s="10" customFormat="1" ht="11.25" x14ac:dyDescent="0.15">
      <c r="A69" s="349"/>
      <c r="B69" s="403" t="s">
        <v>52</v>
      </c>
      <c r="C69" s="281" t="s">
        <v>161</v>
      </c>
      <c r="D69" s="63" t="s">
        <v>165</v>
      </c>
      <c r="E69" s="66" t="s">
        <v>71</v>
      </c>
      <c r="F69" s="62" t="s">
        <v>303</v>
      </c>
      <c r="G69" s="317" t="str">
        <f>IF($M21=0, "", $M21)</f>
        <v>-</v>
      </c>
      <c r="H69" s="347"/>
      <c r="I69" s="262"/>
      <c r="J69" s="74"/>
      <c r="K69" s="83"/>
      <c r="L69" s="37"/>
      <c r="M69" s="264"/>
      <c r="N69" s="6"/>
      <c r="O69" s="185"/>
      <c r="P69" s="185"/>
      <c r="Q69" s="187"/>
      <c r="R69" s="187"/>
      <c r="S69" s="141"/>
    </row>
    <row r="70" spans="1:19" s="10" customFormat="1" ht="11.25" x14ac:dyDescent="0.15">
      <c r="A70" s="349"/>
      <c r="B70" s="403"/>
      <c r="C70" s="282"/>
      <c r="D70" s="60" t="s">
        <v>304</v>
      </c>
      <c r="E70" s="26" t="s">
        <v>72</v>
      </c>
      <c r="F70" s="80" t="s">
        <v>305</v>
      </c>
      <c r="G70" s="317"/>
      <c r="H70" s="348"/>
      <c r="I70" s="263"/>
      <c r="J70" s="56"/>
      <c r="K70" s="57"/>
      <c r="L70" s="38"/>
      <c r="M70" s="264"/>
      <c r="N70" s="6"/>
      <c r="O70" s="185"/>
      <c r="P70" s="276"/>
      <c r="Q70" s="276"/>
      <c r="R70" s="187"/>
      <c r="S70" s="141"/>
    </row>
    <row r="71" spans="1:19" s="10" customFormat="1" ht="11.25" customHeight="1" thickBot="1" x14ac:dyDescent="0.2">
      <c r="A71" s="349"/>
      <c r="B71" s="403" t="s">
        <v>52</v>
      </c>
      <c r="C71" s="281" t="s">
        <v>170</v>
      </c>
      <c r="D71" s="63" t="s">
        <v>55</v>
      </c>
      <c r="E71" s="64" t="s">
        <v>306</v>
      </c>
      <c r="F71" s="62" t="s">
        <v>307</v>
      </c>
      <c r="G71" s="317" t="str">
        <f>IF($M23=0, "", $M23)</f>
        <v>-</v>
      </c>
      <c r="H71" s="114"/>
      <c r="I71" s="91"/>
      <c r="J71" s="53"/>
      <c r="K71" s="54"/>
      <c r="L71" s="39"/>
      <c r="M71" s="264"/>
      <c r="N71" s="6"/>
      <c r="O71" s="185"/>
      <c r="P71" s="276"/>
      <c r="Q71" s="276"/>
      <c r="R71" s="187"/>
      <c r="S71" s="141"/>
    </row>
    <row r="72" spans="1:19" s="10" customFormat="1" ht="12" customHeight="1" x14ac:dyDescent="0.15">
      <c r="A72" s="349"/>
      <c r="B72" s="403"/>
      <c r="C72" s="282"/>
      <c r="D72" s="60" t="s">
        <v>308</v>
      </c>
      <c r="E72" s="65" t="s">
        <v>309</v>
      </c>
      <c r="F72" s="80" t="s">
        <v>310</v>
      </c>
      <c r="G72" s="317"/>
      <c r="H72" s="114"/>
      <c r="I72" s="91"/>
      <c r="J72" s="53"/>
      <c r="K72" s="54"/>
      <c r="L72" s="39"/>
      <c r="M72" s="264"/>
      <c r="N72" s="6"/>
      <c r="O72" s="185"/>
      <c r="P72" s="277" t="s">
        <v>29</v>
      </c>
      <c r="Q72" s="279" t="s">
        <v>119</v>
      </c>
      <c r="R72" s="187"/>
      <c r="S72" s="141"/>
    </row>
    <row r="73" spans="1:19" s="10" customFormat="1" ht="11.25" customHeight="1" x14ac:dyDescent="0.15">
      <c r="A73" s="349"/>
      <c r="B73" s="403" t="s">
        <v>52</v>
      </c>
      <c r="C73" s="281" t="s">
        <v>178</v>
      </c>
      <c r="D73" s="63" t="s">
        <v>311</v>
      </c>
      <c r="E73" s="64" t="s">
        <v>306</v>
      </c>
      <c r="F73" s="62" t="s">
        <v>307</v>
      </c>
      <c r="G73" s="317" t="str">
        <f>IF($M25=0, "", $M25)</f>
        <v>-</v>
      </c>
      <c r="H73" s="347"/>
      <c r="I73" s="262"/>
      <c r="J73" s="74"/>
      <c r="K73" s="83"/>
      <c r="L73" s="37"/>
      <c r="M73" s="264"/>
      <c r="N73" s="6"/>
      <c r="O73" s="185"/>
      <c r="P73" s="278"/>
      <c r="Q73" s="280"/>
      <c r="R73" s="187"/>
      <c r="S73" s="141"/>
    </row>
    <row r="74" spans="1:19" s="10" customFormat="1" ht="11.25" customHeight="1" x14ac:dyDescent="0.15">
      <c r="A74" s="349"/>
      <c r="B74" s="403"/>
      <c r="C74" s="282"/>
      <c r="D74" s="60" t="s">
        <v>312</v>
      </c>
      <c r="E74" s="65" t="s">
        <v>12</v>
      </c>
      <c r="F74" s="80" t="s">
        <v>313</v>
      </c>
      <c r="G74" s="317"/>
      <c r="H74" s="348"/>
      <c r="I74" s="263"/>
      <c r="J74" s="56"/>
      <c r="K74" s="57"/>
      <c r="L74" s="38"/>
      <c r="M74" s="264"/>
      <c r="N74" s="6"/>
      <c r="O74" s="185"/>
      <c r="P74" s="252" t="s">
        <v>121</v>
      </c>
      <c r="Q74" s="254" t="str">
        <f>IF(Q72="YES", "2", "0")</f>
        <v>0</v>
      </c>
      <c r="R74" s="187"/>
      <c r="S74" s="141"/>
    </row>
    <row r="75" spans="1:19" s="10" customFormat="1" ht="11.25" customHeight="1" thickBot="1" x14ac:dyDescent="0.2">
      <c r="A75" s="349"/>
      <c r="B75" s="403" t="s">
        <v>52</v>
      </c>
      <c r="C75" s="281" t="s">
        <v>314</v>
      </c>
      <c r="D75" s="27" t="s">
        <v>315</v>
      </c>
      <c r="E75" s="66" t="s">
        <v>112</v>
      </c>
      <c r="F75" s="62" t="s">
        <v>316</v>
      </c>
      <c r="G75" s="265" t="s">
        <v>119</v>
      </c>
      <c r="H75" s="114"/>
      <c r="I75" s="91"/>
      <c r="J75" s="53"/>
      <c r="K75" s="54"/>
      <c r="L75" s="39"/>
      <c r="M75" s="264"/>
      <c r="N75" s="6"/>
      <c r="O75" s="185"/>
      <c r="P75" s="253"/>
      <c r="Q75" s="255"/>
      <c r="R75" s="187"/>
      <c r="S75" s="141"/>
    </row>
    <row r="76" spans="1:19" s="7" customFormat="1" ht="11.25" customHeight="1" thickBot="1" x14ac:dyDescent="0.2">
      <c r="A76" s="349"/>
      <c r="B76" s="403"/>
      <c r="C76" s="282"/>
      <c r="D76" s="115" t="s">
        <v>317</v>
      </c>
      <c r="E76" s="32" t="s">
        <v>318</v>
      </c>
      <c r="F76" s="80" t="s">
        <v>319</v>
      </c>
      <c r="G76" s="266"/>
      <c r="H76" s="114"/>
      <c r="I76" s="91"/>
      <c r="J76" s="53"/>
      <c r="K76" s="54"/>
      <c r="L76" s="39"/>
      <c r="M76" s="264"/>
      <c r="N76" s="6"/>
      <c r="O76" s="185"/>
      <c r="R76" s="187"/>
      <c r="S76" s="141"/>
    </row>
    <row r="77" spans="1:19" s="10" customFormat="1" ht="11.25" customHeight="1" x14ac:dyDescent="0.15">
      <c r="A77" s="349"/>
      <c r="B77" s="403" t="s">
        <v>52</v>
      </c>
      <c r="C77" s="281" t="s">
        <v>320</v>
      </c>
      <c r="D77" s="27" t="s">
        <v>321</v>
      </c>
      <c r="E77" s="116" t="s">
        <v>97</v>
      </c>
      <c r="F77" s="62" t="s">
        <v>322</v>
      </c>
      <c r="G77" s="265" t="s">
        <v>119</v>
      </c>
      <c r="H77" s="347"/>
      <c r="I77" s="262"/>
      <c r="J77" s="74"/>
      <c r="K77" s="83"/>
      <c r="L77" s="37"/>
      <c r="M77" s="264"/>
      <c r="N77" s="6"/>
      <c r="O77" s="185"/>
      <c r="P77" s="274" t="s">
        <v>120</v>
      </c>
      <c r="Q77" s="272" t="s">
        <v>119</v>
      </c>
      <c r="R77" s="187"/>
      <c r="S77" s="141"/>
    </row>
    <row r="78" spans="1:19" s="7" customFormat="1" ht="12" customHeight="1" x14ac:dyDescent="0.15">
      <c r="A78" s="349"/>
      <c r="B78" s="403"/>
      <c r="C78" s="282"/>
      <c r="D78" s="115" t="s">
        <v>323</v>
      </c>
      <c r="E78" s="26" t="s">
        <v>98</v>
      </c>
      <c r="F78" s="80" t="s">
        <v>324</v>
      </c>
      <c r="G78" s="265"/>
      <c r="H78" s="348"/>
      <c r="I78" s="263"/>
      <c r="J78" s="56"/>
      <c r="K78" s="57"/>
      <c r="L78" s="38"/>
      <c r="M78" s="264"/>
      <c r="N78" s="6"/>
      <c r="O78" s="185"/>
      <c r="P78" s="275"/>
      <c r="Q78" s="273"/>
      <c r="R78" s="187"/>
      <c r="S78" s="141"/>
    </row>
    <row r="79" spans="1:19" s="10" customFormat="1" ht="11.25" customHeight="1" x14ac:dyDescent="0.15">
      <c r="A79" s="349"/>
      <c r="B79" s="207" t="s">
        <v>208</v>
      </c>
      <c r="C79" s="118"/>
      <c r="D79" s="48"/>
      <c r="E79" s="19"/>
      <c r="F79" s="39"/>
      <c r="G79" s="264"/>
      <c r="H79" s="347"/>
      <c r="I79" s="262"/>
      <c r="J79" s="48"/>
      <c r="K79" s="19"/>
      <c r="L79" s="39"/>
      <c r="M79" s="264"/>
      <c r="N79" s="6"/>
      <c r="O79" s="125"/>
      <c r="P79" s="252" t="s">
        <v>121</v>
      </c>
      <c r="Q79" s="256" t="str">
        <f>IF(Q77="YES", "4", "0")</f>
        <v>0</v>
      </c>
      <c r="R79" s="141"/>
      <c r="S79" s="141"/>
    </row>
    <row r="80" spans="1:19" s="7" customFormat="1" ht="12" customHeight="1" thickBot="1" x14ac:dyDescent="0.2">
      <c r="A80" s="437"/>
      <c r="B80" s="208" t="s">
        <v>209</v>
      </c>
      <c r="C80" s="124"/>
      <c r="D80" s="50"/>
      <c r="E80" s="121"/>
      <c r="F80" s="34"/>
      <c r="G80" s="339"/>
      <c r="H80" s="404"/>
      <c r="I80" s="290"/>
      <c r="J80" s="50"/>
      <c r="K80" s="121"/>
      <c r="L80" s="34"/>
      <c r="M80" s="339"/>
      <c r="N80" s="6"/>
      <c r="O80" s="125"/>
      <c r="P80" s="253"/>
      <c r="Q80" s="257"/>
      <c r="R80" s="141"/>
      <c r="S80" s="141"/>
    </row>
    <row r="81" spans="1:19" s="10" customFormat="1" ht="11.25" customHeight="1" thickBot="1" x14ac:dyDescent="0.2">
      <c r="A81" s="349">
        <v>2</v>
      </c>
      <c r="B81" s="351" t="s">
        <v>52</v>
      </c>
      <c r="C81" s="354" t="s">
        <v>325</v>
      </c>
      <c r="D81" s="126" t="s">
        <v>326</v>
      </c>
      <c r="E81" s="70" t="s">
        <v>113</v>
      </c>
      <c r="F81" s="209" t="s">
        <v>214</v>
      </c>
      <c r="G81" s="324" t="s">
        <v>119</v>
      </c>
      <c r="H81" s="383" t="s">
        <v>52</v>
      </c>
      <c r="I81" s="354" t="s">
        <v>290</v>
      </c>
      <c r="J81" s="29" t="s">
        <v>327</v>
      </c>
      <c r="K81" s="51" t="s">
        <v>113</v>
      </c>
      <c r="L81" s="209" t="s">
        <v>214</v>
      </c>
      <c r="M81" s="335" t="str">
        <f>IF(G81=0, "", G81)</f>
        <v>-</v>
      </c>
      <c r="N81" s="6"/>
      <c r="O81" s="125"/>
      <c r="P81" s="210"/>
      <c r="Q81" s="210"/>
      <c r="R81" s="141"/>
      <c r="S81" s="141"/>
    </row>
    <row r="82" spans="1:19" s="10" customFormat="1" ht="14.25" customHeight="1" x14ac:dyDescent="0.15">
      <c r="A82" s="349"/>
      <c r="B82" s="366"/>
      <c r="C82" s="341"/>
      <c r="D82" s="88" t="s">
        <v>292</v>
      </c>
      <c r="E82" s="89" t="s">
        <v>114</v>
      </c>
      <c r="F82" s="211" t="s">
        <v>67</v>
      </c>
      <c r="G82" s="312"/>
      <c r="H82" s="384"/>
      <c r="I82" s="341"/>
      <c r="J82" s="88" t="s">
        <v>292</v>
      </c>
      <c r="K82" s="20" t="s">
        <v>114</v>
      </c>
      <c r="L82" s="211" t="s">
        <v>67</v>
      </c>
      <c r="M82" s="317"/>
      <c r="N82" s="6"/>
      <c r="O82" s="125"/>
      <c r="P82" s="258" t="s">
        <v>30</v>
      </c>
      <c r="Q82" s="260"/>
      <c r="R82" s="141"/>
      <c r="S82" s="141"/>
    </row>
    <row r="83" spans="1:19" s="10" customFormat="1" ht="11.25" customHeight="1" x14ac:dyDescent="0.15">
      <c r="A83" s="349"/>
      <c r="B83" s="350" t="s">
        <v>52</v>
      </c>
      <c r="C83" s="357" t="s">
        <v>328</v>
      </c>
      <c r="D83" s="53" t="s">
        <v>329</v>
      </c>
      <c r="E83" s="54" t="s">
        <v>115</v>
      </c>
      <c r="F83" s="49" t="s">
        <v>62</v>
      </c>
      <c r="G83" s="312" t="s">
        <v>119</v>
      </c>
      <c r="H83" s="385" t="s">
        <v>81</v>
      </c>
      <c r="I83" s="387">
        <v>881202</v>
      </c>
      <c r="J83" s="70" t="s">
        <v>330</v>
      </c>
      <c r="K83" s="83" t="s">
        <v>117</v>
      </c>
      <c r="L83" s="212" t="s">
        <v>331</v>
      </c>
      <c r="M83" s="265" t="s">
        <v>119</v>
      </c>
      <c r="N83" s="6"/>
      <c r="O83" s="125"/>
      <c r="P83" s="259"/>
      <c r="Q83" s="261"/>
      <c r="R83" s="141"/>
      <c r="S83" s="141"/>
    </row>
    <row r="84" spans="1:19" s="5" customFormat="1" ht="11.25" customHeight="1" x14ac:dyDescent="0.15">
      <c r="A84" s="349"/>
      <c r="B84" s="351"/>
      <c r="C84" s="358"/>
      <c r="D84" s="56" t="s">
        <v>332</v>
      </c>
      <c r="E84" s="57" t="s">
        <v>116</v>
      </c>
      <c r="F84" s="42" t="s">
        <v>63</v>
      </c>
      <c r="G84" s="312"/>
      <c r="H84" s="383"/>
      <c r="I84" s="388"/>
      <c r="J84" s="20" t="s">
        <v>333</v>
      </c>
      <c r="K84" s="54" t="s">
        <v>58</v>
      </c>
      <c r="L84" s="213"/>
      <c r="M84" s="266"/>
      <c r="N84" s="6"/>
      <c r="O84" s="125"/>
      <c r="P84" s="376" t="s">
        <v>31</v>
      </c>
      <c r="Q84" s="380">
        <f>COUNTIF(G33:G48,"YES")+COUNTIF(M9:M50,"YES")+COUNTIF(S27:S52,"YES")+COUNTIF(G75:G92,"YES")+COUNTIF(M83:M92,"YES")+COUNTIF(Q77,"YES")+COUNTIF(Q72,"YES")</f>
        <v>0</v>
      </c>
      <c r="R84" s="141"/>
      <c r="S84" s="141"/>
    </row>
    <row r="85" spans="1:19" s="5" customFormat="1" ht="11.25" customHeight="1" x14ac:dyDescent="0.15">
      <c r="A85" s="349"/>
      <c r="B85" s="352" t="s">
        <v>51</v>
      </c>
      <c r="C85" s="340" t="s">
        <v>334</v>
      </c>
      <c r="D85" s="214" t="s">
        <v>335</v>
      </c>
      <c r="E85" s="214" t="s">
        <v>65</v>
      </c>
      <c r="F85" s="215" t="s">
        <v>101</v>
      </c>
      <c r="G85" s="312" t="s">
        <v>119</v>
      </c>
      <c r="H85" s="425"/>
      <c r="I85" s="427"/>
      <c r="J85" s="48"/>
      <c r="K85" s="216"/>
      <c r="L85" s="429"/>
      <c r="M85" s="392"/>
      <c r="N85" s="6"/>
      <c r="O85" s="125"/>
      <c r="P85" s="377"/>
      <c r="Q85" s="381"/>
      <c r="R85" s="141"/>
      <c r="S85" s="141"/>
    </row>
    <row r="86" spans="1:19" s="10" customFormat="1" ht="12" customHeight="1" thickBot="1" x14ac:dyDescent="0.2">
      <c r="A86" s="217"/>
      <c r="B86" s="353"/>
      <c r="C86" s="354"/>
      <c r="D86" s="218" t="s">
        <v>336</v>
      </c>
      <c r="E86" s="218" t="s">
        <v>66</v>
      </c>
      <c r="F86" s="219" t="s">
        <v>337</v>
      </c>
      <c r="G86" s="391"/>
      <c r="H86" s="426"/>
      <c r="I86" s="428"/>
      <c r="J86" s="220"/>
      <c r="K86" s="221"/>
      <c r="L86" s="430"/>
      <c r="M86" s="268"/>
      <c r="N86" s="6"/>
      <c r="O86" s="125"/>
      <c r="P86" s="378" t="s">
        <v>32</v>
      </c>
      <c r="Q86" s="380">
        <f>COUNTIF(G33:G48,"YES")*2+COUNTIF(M33,"YES")*4+COUNTIF(M9:M26,"YES")*4+COUNTIF(M35:M50,"YES")*2+COUNTIF(M27:M30,"YES")*2+COUNTIF(S27:S52,"YES")*2+COUNTIF(G75:G92,"YES")*2+COUNTIF(M83:M92,"YES")*2+Q74+Q79</f>
        <v>0</v>
      </c>
      <c r="R86" s="141"/>
      <c r="S86" s="141"/>
    </row>
    <row r="87" spans="1:19" s="10" customFormat="1" ht="14.25" customHeight="1" thickBot="1" x14ac:dyDescent="0.2">
      <c r="A87" s="436">
        <v>3</v>
      </c>
      <c r="B87" s="355" t="s">
        <v>52</v>
      </c>
      <c r="C87" s="361" t="s">
        <v>338</v>
      </c>
      <c r="D87" s="222" t="s">
        <v>339</v>
      </c>
      <c r="E87" s="223" t="s">
        <v>340</v>
      </c>
      <c r="F87" s="224" t="s">
        <v>214</v>
      </c>
      <c r="G87" s="269" t="s">
        <v>119</v>
      </c>
      <c r="H87" s="386" t="s">
        <v>81</v>
      </c>
      <c r="I87" s="314" t="s">
        <v>341</v>
      </c>
      <c r="J87" s="21" t="s">
        <v>342</v>
      </c>
      <c r="K87" s="225" t="s">
        <v>343</v>
      </c>
      <c r="L87" s="108" t="s">
        <v>307</v>
      </c>
      <c r="M87" s="265" t="s">
        <v>119</v>
      </c>
      <c r="N87" s="6"/>
      <c r="O87" s="125"/>
      <c r="P87" s="379"/>
      <c r="Q87" s="382"/>
      <c r="R87" s="141"/>
      <c r="S87" s="141"/>
    </row>
    <row r="88" spans="1:19" s="7" customFormat="1" ht="12" thickBot="1" x14ac:dyDescent="0.2">
      <c r="A88" s="349"/>
      <c r="B88" s="356"/>
      <c r="C88" s="362"/>
      <c r="D88" s="226" t="s">
        <v>344</v>
      </c>
      <c r="E88" s="227" t="s">
        <v>345</v>
      </c>
      <c r="F88" s="228" t="s">
        <v>67</v>
      </c>
      <c r="G88" s="266"/>
      <c r="H88" s="383"/>
      <c r="I88" s="289"/>
      <c r="J88" s="51" t="s">
        <v>346</v>
      </c>
      <c r="K88" s="54" t="s">
        <v>347</v>
      </c>
      <c r="L88" s="55" t="s">
        <v>313</v>
      </c>
      <c r="M88" s="266"/>
      <c r="N88" s="6"/>
      <c r="O88" s="125"/>
      <c r="P88" s="125"/>
      <c r="Q88" s="141"/>
      <c r="R88" s="141"/>
      <c r="S88" s="141"/>
    </row>
    <row r="89" spans="1:19" s="10" customFormat="1" ht="11.25" customHeight="1" x14ac:dyDescent="0.15">
      <c r="A89" s="349"/>
      <c r="B89" s="359"/>
      <c r="C89" s="229"/>
      <c r="D89" s="230"/>
      <c r="E89" s="231"/>
      <c r="F89" s="232"/>
      <c r="G89" s="267"/>
      <c r="H89" s="363"/>
      <c r="I89" s="432"/>
      <c r="J89" s="74"/>
      <c r="K89" s="83"/>
      <c r="L89" s="434"/>
      <c r="M89" s="392"/>
      <c r="N89" s="6"/>
      <c r="O89" s="125"/>
      <c r="P89" s="370" t="s">
        <v>33</v>
      </c>
      <c r="Q89" s="373">
        <f>IF(Q86&lt;14,1,0)</f>
        <v>1</v>
      </c>
      <c r="R89" s="141"/>
      <c r="S89" s="141"/>
    </row>
    <row r="90" spans="1:19" s="7" customFormat="1" ht="12" customHeight="1" thickBot="1" x14ac:dyDescent="0.2">
      <c r="A90" s="437"/>
      <c r="B90" s="360"/>
      <c r="C90" s="233"/>
      <c r="D90" s="234"/>
      <c r="E90" s="235"/>
      <c r="F90" s="236"/>
      <c r="G90" s="268"/>
      <c r="H90" s="431"/>
      <c r="I90" s="433"/>
      <c r="J90" s="78"/>
      <c r="K90" s="79"/>
      <c r="L90" s="435"/>
      <c r="M90" s="268"/>
      <c r="N90" s="6"/>
      <c r="O90" s="125"/>
      <c r="P90" s="371"/>
      <c r="Q90" s="374"/>
      <c r="R90" s="141"/>
      <c r="S90" s="141"/>
    </row>
    <row r="91" spans="1:19" s="10" customFormat="1" ht="12" customHeight="1" thickBot="1" x14ac:dyDescent="0.2">
      <c r="A91" s="349">
        <v>4</v>
      </c>
      <c r="B91" s="367" t="s">
        <v>52</v>
      </c>
      <c r="C91" s="368" t="s">
        <v>348</v>
      </c>
      <c r="D91" s="237" t="s">
        <v>349</v>
      </c>
      <c r="E91" s="153" t="s">
        <v>350</v>
      </c>
      <c r="F91" s="238" t="s">
        <v>192</v>
      </c>
      <c r="G91" s="265" t="s">
        <v>119</v>
      </c>
      <c r="H91" s="389" t="s">
        <v>60</v>
      </c>
      <c r="I91" s="354" t="s">
        <v>351</v>
      </c>
      <c r="J91" s="218" t="s">
        <v>352</v>
      </c>
      <c r="K91" s="239" t="s">
        <v>353</v>
      </c>
      <c r="L91" s="55" t="s">
        <v>354</v>
      </c>
      <c r="M91" s="265" t="s">
        <v>119</v>
      </c>
      <c r="N91" s="6"/>
      <c r="O91" s="125"/>
      <c r="P91" s="372"/>
      <c r="Q91" s="375"/>
      <c r="R91" s="141"/>
      <c r="S91" s="141"/>
    </row>
    <row r="92" spans="1:19" s="10" customFormat="1" ht="11.25" customHeight="1" x14ac:dyDescent="0.15">
      <c r="A92" s="349"/>
      <c r="B92" s="356"/>
      <c r="C92" s="369"/>
      <c r="D92" s="226" t="s">
        <v>355</v>
      </c>
      <c r="E92" s="163" t="s">
        <v>356</v>
      </c>
      <c r="F92" s="240" t="s">
        <v>196</v>
      </c>
      <c r="G92" s="266"/>
      <c r="H92" s="390"/>
      <c r="I92" s="341"/>
      <c r="J92" s="241" t="s">
        <v>61</v>
      </c>
      <c r="K92" s="242" t="s">
        <v>357</v>
      </c>
      <c r="L92" s="52" t="s">
        <v>358</v>
      </c>
      <c r="M92" s="266"/>
      <c r="N92" s="6"/>
      <c r="O92" s="125"/>
      <c r="P92" s="125"/>
      <c r="Q92" s="141"/>
      <c r="R92" s="141"/>
      <c r="S92" s="141"/>
    </row>
    <row r="93" spans="1:19" s="10" customFormat="1" ht="11.25" x14ac:dyDescent="0.15">
      <c r="A93" s="349"/>
      <c r="B93" s="363"/>
      <c r="C93" s="364"/>
      <c r="D93" s="74"/>
      <c r="E93" s="74"/>
      <c r="F93" s="82"/>
      <c r="G93" s="267"/>
      <c r="H93" s="348"/>
      <c r="I93" s="365"/>
      <c r="J93" s="53"/>
      <c r="K93" s="53"/>
      <c r="L93" s="55"/>
      <c r="M93" s="267"/>
      <c r="N93" s="6"/>
      <c r="O93" s="125"/>
      <c r="P93" s="125"/>
      <c r="Q93" s="141"/>
      <c r="R93" s="141"/>
      <c r="S93" s="141"/>
    </row>
    <row r="94" spans="1:19" s="7" customFormat="1" ht="12" thickBot="1" x14ac:dyDescent="0.2">
      <c r="A94" s="349"/>
      <c r="B94" s="347"/>
      <c r="C94" s="365"/>
      <c r="D94" s="53"/>
      <c r="E94" s="53"/>
      <c r="F94" s="42"/>
      <c r="G94" s="268"/>
      <c r="H94" s="347"/>
      <c r="I94" s="365"/>
      <c r="J94" s="53"/>
      <c r="K94" s="53"/>
      <c r="L94" s="42"/>
      <c r="M94" s="268"/>
      <c r="N94" s="6"/>
      <c r="O94" s="125"/>
      <c r="P94" s="125"/>
      <c r="Q94" s="141"/>
      <c r="R94" s="141"/>
      <c r="S94" s="141"/>
    </row>
    <row r="95" spans="1:19" ht="13.5" customHeight="1" x14ac:dyDescent="0.15">
      <c r="A95" s="304">
        <v>5</v>
      </c>
      <c r="B95" s="438"/>
      <c r="C95" s="410"/>
      <c r="D95" s="46"/>
      <c r="E95" s="28"/>
      <c r="F95" s="108"/>
      <c r="G95" s="440"/>
      <c r="H95" s="442"/>
      <c r="I95" s="410"/>
      <c r="J95" s="243"/>
      <c r="K95" s="21"/>
      <c r="L95" s="244"/>
      <c r="M95" s="440"/>
      <c r="O95" s="125"/>
      <c r="P95" s="125"/>
      <c r="Q95" s="141"/>
      <c r="R95" s="141"/>
      <c r="S95" s="141"/>
    </row>
    <row r="96" spans="1:19" x14ac:dyDescent="0.15">
      <c r="A96" s="305"/>
      <c r="B96" s="439"/>
      <c r="C96" s="402"/>
      <c r="D96" s="81"/>
      <c r="E96" s="56"/>
      <c r="F96" s="245"/>
      <c r="G96" s="441"/>
      <c r="H96" s="443"/>
      <c r="I96" s="402"/>
      <c r="J96" s="246"/>
      <c r="K96" s="20"/>
      <c r="L96" s="247"/>
      <c r="M96" s="441"/>
      <c r="O96" s="125"/>
      <c r="P96" s="125"/>
      <c r="Q96" s="141"/>
      <c r="R96" s="141"/>
      <c r="S96" s="141"/>
    </row>
    <row r="97" spans="1:19" ht="13.5" customHeight="1" x14ac:dyDescent="0.15">
      <c r="A97" s="305"/>
      <c r="B97" s="348"/>
      <c r="C97" s="358"/>
      <c r="D97" s="17"/>
      <c r="E97" s="51"/>
      <c r="F97" s="250"/>
      <c r="G97" s="392"/>
      <c r="H97" s="445"/>
      <c r="I97" s="432"/>
      <c r="J97" s="74"/>
      <c r="K97" s="83"/>
      <c r="L97" s="434"/>
      <c r="M97" s="392"/>
      <c r="O97" s="125"/>
      <c r="P97" s="125"/>
      <c r="Q97" s="141"/>
      <c r="R97" s="141"/>
      <c r="S97" s="141"/>
    </row>
    <row r="98" spans="1:19" ht="12.75" customHeight="1" thickBot="1" x14ac:dyDescent="0.2">
      <c r="A98" s="306"/>
      <c r="B98" s="431"/>
      <c r="C98" s="444"/>
      <c r="D98" s="50"/>
      <c r="E98" s="50"/>
      <c r="F98" s="251"/>
      <c r="G98" s="268"/>
      <c r="H98" s="446"/>
      <c r="I98" s="433"/>
      <c r="J98" s="78"/>
      <c r="K98" s="79"/>
      <c r="L98" s="435"/>
      <c r="M98" s="268"/>
      <c r="O98" s="125"/>
      <c r="P98" s="125"/>
      <c r="Q98" s="141"/>
      <c r="R98" s="141"/>
      <c r="S98" s="141"/>
    </row>
    <row r="99" spans="1:19" ht="13.5" customHeight="1" x14ac:dyDescent="0.15"/>
    <row r="100" spans="1:19" ht="12.75" customHeight="1" x14ac:dyDescent="0.15"/>
  </sheetData>
  <sheetProtection formatCells="0" formatColumns="0" formatRows="0"/>
  <mergeCells count="336">
    <mergeCell ref="A95:A98"/>
    <mergeCell ref="B95:B96"/>
    <mergeCell ref="C95:C96"/>
    <mergeCell ref="G95:G96"/>
    <mergeCell ref="H95:H96"/>
    <mergeCell ref="I95:I96"/>
    <mergeCell ref="M95:M96"/>
    <mergeCell ref="B97:B98"/>
    <mergeCell ref="C97:C98"/>
    <mergeCell ref="G97:G98"/>
    <mergeCell ref="H97:H98"/>
    <mergeCell ref="I97:I98"/>
    <mergeCell ref="L97:L98"/>
    <mergeCell ref="M97:M98"/>
    <mergeCell ref="B77:B78"/>
    <mergeCell ref="C77:C78"/>
    <mergeCell ref="A81:A85"/>
    <mergeCell ref="H85:H86"/>
    <mergeCell ref="I85:I86"/>
    <mergeCell ref="L85:L86"/>
    <mergeCell ref="H89:H90"/>
    <mergeCell ref="I89:I90"/>
    <mergeCell ref="L89:L90"/>
    <mergeCell ref="C85:C86"/>
    <mergeCell ref="A87:A90"/>
    <mergeCell ref="A57:A80"/>
    <mergeCell ref="G57:G58"/>
    <mergeCell ref="B71:B72"/>
    <mergeCell ref="C71:C72"/>
    <mergeCell ref="H67:H68"/>
    <mergeCell ref="A49:A52"/>
    <mergeCell ref="B51:B52"/>
    <mergeCell ref="G51:G52"/>
    <mergeCell ref="H51:H52"/>
    <mergeCell ref="I51:I52"/>
    <mergeCell ref="M51:M52"/>
    <mergeCell ref="N51:N52"/>
    <mergeCell ref="O51:O52"/>
    <mergeCell ref="S51:S52"/>
    <mergeCell ref="S49:S50"/>
    <mergeCell ref="B49:B50"/>
    <mergeCell ref="C49:C50"/>
    <mergeCell ref="G49:G50"/>
    <mergeCell ref="A1:S1"/>
    <mergeCell ref="B6:D6"/>
    <mergeCell ref="A33:A38"/>
    <mergeCell ref="E35:E36"/>
    <mergeCell ref="A39:A42"/>
    <mergeCell ref="C39:C40"/>
    <mergeCell ref="H39:H40"/>
    <mergeCell ref="I39:I40"/>
    <mergeCell ref="A43:A48"/>
    <mergeCell ref="H45:H46"/>
    <mergeCell ref="I45:I46"/>
    <mergeCell ref="O47:O48"/>
    <mergeCell ref="B43:B44"/>
    <mergeCell ref="B47:B48"/>
    <mergeCell ref="C41:C42"/>
    <mergeCell ref="C43:C44"/>
    <mergeCell ref="B37:B38"/>
    <mergeCell ref="B35:B36"/>
    <mergeCell ref="B33:B34"/>
    <mergeCell ref="C33:C34"/>
    <mergeCell ref="B41:B42"/>
    <mergeCell ref="B39:B40"/>
    <mergeCell ref="N33:N34"/>
    <mergeCell ref="O33:O34"/>
    <mergeCell ref="C35:C36"/>
    <mergeCell ref="M79:M80"/>
    <mergeCell ref="I79:I80"/>
    <mergeCell ref="I77:I78"/>
    <mergeCell ref="I67:I68"/>
    <mergeCell ref="B67:B68"/>
    <mergeCell ref="C67:C68"/>
    <mergeCell ref="G43:G44"/>
    <mergeCell ref="G77:G78"/>
    <mergeCell ref="G79:G80"/>
    <mergeCell ref="B73:B74"/>
    <mergeCell ref="B75:B76"/>
    <mergeCell ref="B63:B64"/>
    <mergeCell ref="B59:B60"/>
    <mergeCell ref="B61:B62"/>
    <mergeCell ref="B69:B70"/>
    <mergeCell ref="C69:C70"/>
    <mergeCell ref="B65:B66"/>
    <mergeCell ref="C65:C66"/>
    <mergeCell ref="G75:G76"/>
    <mergeCell ref="B57:B58"/>
    <mergeCell ref="C57:C58"/>
    <mergeCell ref="H79:H80"/>
    <mergeCell ref="H77:H78"/>
    <mergeCell ref="E4:I4"/>
    <mergeCell ref="E5:I5"/>
    <mergeCell ref="M9:M10"/>
    <mergeCell ref="M35:M36"/>
    <mergeCell ref="H33:H34"/>
    <mergeCell ref="I33:I34"/>
    <mergeCell ref="M37:M38"/>
    <mergeCell ref="M31:M32"/>
    <mergeCell ref="M65:M66"/>
    <mergeCell ref="G31:G32"/>
    <mergeCell ref="M49:M50"/>
    <mergeCell ref="M57:M58"/>
    <mergeCell ref="M59:M60"/>
    <mergeCell ref="M61:M62"/>
    <mergeCell ref="G47:G48"/>
    <mergeCell ref="H41:H42"/>
    <mergeCell ref="G41:G42"/>
    <mergeCell ref="H43:H44"/>
    <mergeCell ref="I43:I44"/>
    <mergeCell ref="G59:G60"/>
    <mergeCell ref="G61:G62"/>
    <mergeCell ref="G63:G64"/>
    <mergeCell ref="H65:H66"/>
    <mergeCell ref="H49:H50"/>
    <mergeCell ref="M91:M92"/>
    <mergeCell ref="M89:M90"/>
    <mergeCell ref="M87:M88"/>
    <mergeCell ref="M85:M86"/>
    <mergeCell ref="M83:M84"/>
    <mergeCell ref="M81:M82"/>
    <mergeCell ref="G45:G46"/>
    <mergeCell ref="M69:M70"/>
    <mergeCell ref="M71:M72"/>
    <mergeCell ref="H69:H70"/>
    <mergeCell ref="H73:H74"/>
    <mergeCell ref="I49:I50"/>
    <mergeCell ref="H57:H58"/>
    <mergeCell ref="I73:I74"/>
    <mergeCell ref="P89:P91"/>
    <mergeCell ref="Q89:Q91"/>
    <mergeCell ref="P84:P85"/>
    <mergeCell ref="P86:P87"/>
    <mergeCell ref="Q84:Q85"/>
    <mergeCell ref="Q86:Q87"/>
    <mergeCell ref="G93:G94"/>
    <mergeCell ref="H81:H82"/>
    <mergeCell ref="H83:H84"/>
    <mergeCell ref="H87:H88"/>
    <mergeCell ref="I81:I82"/>
    <mergeCell ref="I83:I84"/>
    <mergeCell ref="I87:I88"/>
    <mergeCell ref="I91:I92"/>
    <mergeCell ref="H91:H92"/>
    <mergeCell ref="G81:G82"/>
    <mergeCell ref="G83:G84"/>
    <mergeCell ref="G85:G86"/>
    <mergeCell ref="G89:G90"/>
    <mergeCell ref="G91:G92"/>
    <mergeCell ref="G87:G88"/>
    <mergeCell ref="H93:H94"/>
    <mergeCell ref="I93:I94"/>
    <mergeCell ref="M93:M94"/>
    <mergeCell ref="A91:A94"/>
    <mergeCell ref="B83:B84"/>
    <mergeCell ref="B85:B86"/>
    <mergeCell ref="C81:C82"/>
    <mergeCell ref="B87:B88"/>
    <mergeCell ref="C83:C84"/>
    <mergeCell ref="B89:B90"/>
    <mergeCell ref="C87:C88"/>
    <mergeCell ref="B93:B94"/>
    <mergeCell ref="C93:C94"/>
    <mergeCell ref="B81:B82"/>
    <mergeCell ref="B91:B92"/>
    <mergeCell ref="C91:C92"/>
    <mergeCell ref="S47:S48"/>
    <mergeCell ref="N47:N48"/>
    <mergeCell ref="N49:N50"/>
    <mergeCell ref="O49:O50"/>
    <mergeCell ref="C75:C76"/>
    <mergeCell ref="I57:I58"/>
    <mergeCell ref="I63:I64"/>
    <mergeCell ref="M73:M74"/>
    <mergeCell ref="M75:M76"/>
    <mergeCell ref="I59:I60"/>
    <mergeCell ref="I61:I62"/>
    <mergeCell ref="G69:G70"/>
    <mergeCell ref="G71:G72"/>
    <mergeCell ref="M67:M68"/>
    <mergeCell ref="G65:G66"/>
    <mergeCell ref="G67:G68"/>
    <mergeCell ref="G73:G74"/>
    <mergeCell ref="H63:H64"/>
    <mergeCell ref="C73:C74"/>
    <mergeCell ref="C63:C64"/>
    <mergeCell ref="C59:C60"/>
    <mergeCell ref="H59:H60"/>
    <mergeCell ref="C61:C62"/>
    <mergeCell ref="H61:H62"/>
    <mergeCell ref="S29:S30"/>
    <mergeCell ref="S31:S32"/>
    <mergeCell ref="S35:S36"/>
    <mergeCell ref="S33:S34"/>
    <mergeCell ref="S37:S38"/>
    <mergeCell ref="S39:S40"/>
    <mergeCell ref="M33:M34"/>
    <mergeCell ref="G33:G34"/>
    <mergeCell ref="N37:N38"/>
    <mergeCell ref="O37:O38"/>
    <mergeCell ref="G37:G38"/>
    <mergeCell ref="N35:N36"/>
    <mergeCell ref="O35:O36"/>
    <mergeCell ref="G35:G36"/>
    <mergeCell ref="N29:N30"/>
    <mergeCell ref="O29:O30"/>
    <mergeCell ref="G39:G40"/>
    <mergeCell ref="I35:I36"/>
    <mergeCell ref="S41:S42"/>
    <mergeCell ref="S43:S44"/>
    <mergeCell ref="H35:H36"/>
    <mergeCell ref="M39:M40"/>
    <mergeCell ref="S13:S14"/>
    <mergeCell ref="E2:I2"/>
    <mergeCell ref="G3:I3"/>
    <mergeCell ref="B7:G7"/>
    <mergeCell ref="O9:O10"/>
    <mergeCell ref="B11:B12"/>
    <mergeCell ref="C11:C12"/>
    <mergeCell ref="H11:H12"/>
    <mergeCell ref="I11:I12"/>
    <mergeCell ref="N11:N12"/>
    <mergeCell ref="B2:D2"/>
    <mergeCell ref="B3:D3"/>
    <mergeCell ref="B4:D4"/>
    <mergeCell ref="B5:D5"/>
    <mergeCell ref="E3:F3"/>
    <mergeCell ref="H7:M7"/>
    <mergeCell ref="N7:S7"/>
    <mergeCell ref="S9:S10"/>
    <mergeCell ref="S11:S12"/>
    <mergeCell ref="O11:O12"/>
    <mergeCell ref="B9:B10"/>
    <mergeCell ref="C9:C10"/>
    <mergeCell ref="H9:H10"/>
    <mergeCell ref="I9:I10"/>
    <mergeCell ref="S45:S46"/>
    <mergeCell ref="S25:S26"/>
    <mergeCell ref="S27:S28"/>
    <mergeCell ref="O39:O40"/>
    <mergeCell ref="N41:N42"/>
    <mergeCell ref="N39:N40"/>
    <mergeCell ref="N27:N28"/>
    <mergeCell ref="O15:O16"/>
    <mergeCell ref="S15:S16"/>
    <mergeCell ref="S17:S18"/>
    <mergeCell ref="S19:S20"/>
    <mergeCell ref="S21:S22"/>
    <mergeCell ref="S23:S24"/>
    <mergeCell ref="O27:O28"/>
    <mergeCell ref="N23:N24"/>
    <mergeCell ref="O23:O24"/>
    <mergeCell ref="N17:N18"/>
    <mergeCell ref="O17:O18"/>
    <mergeCell ref="N19:N20"/>
    <mergeCell ref="I19:I20"/>
    <mergeCell ref="B55:F55"/>
    <mergeCell ref="H55:M55"/>
    <mergeCell ref="N9:N10"/>
    <mergeCell ref="G9:G10"/>
    <mergeCell ref="G11:G12"/>
    <mergeCell ref="A9:A32"/>
    <mergeCell ref="B15:B16"/>
    <mergeCell ref="C15:C16"/>
    <mergeCell ref="H15:H16"/>
    <mergeCell ref="I15:I16"/>
    <mergeCell ref="N15:N16"/>
    <mergeCell ref="B13:B14"/>
    <mergeCell ref="C13:C14"/>
    <mergeCell ref="H13:H14"/>
    <mergeCell ref="I13:I14"/>
    <mergeCell ref="G13:G14"/>
    <mergeCell ref="G15:G16"/>
    <mergeCell ref="M15:M16"/>
    <mergeCell ref="M13:M14"/>
    <mergeCell ref="M11:M12"/>
    <mergeCell ref="N13:N14"/>
    <mergeCell ref="I29:I30"/>
    <mergeCell ref="I17:I18"/>
    <mergeCell ref="H19:H20"/>
    <mergeCell ref="O13:O14"/>
    <mergeCell ref="H21:H22"/>
    <mergeCell ref="I21:I22"/>
    <mergeCell ref="N21:N22"/>
    <mergeCell ref="O21:O22"/>
    <mergeCell ref="H23:H24"/>
    <mergeCell ref="I23:I24"/>
    <mergeCell ref="H17:H18"/>
    <mergeCell ref="H47:H48"/>
    <mergeCell ref="I47:I48"/>
    <mergeCell ref="H25:H26"/>
    <mergeCell ref="I25:I26"/>
    <mergeCell ref="H27:H28"/>
    <mergeCell ref="I27:I28"/>
    <mergeCell ref="M29:M30"/>
    <mergeCell ref="M27:M28"/>
    <mergeCell ref="M25:M26"/>
    <mergeCell ref="H29:H30"/>
    <mergeCell ref="O19:O20"/>
    <mergeCell ref="O41:O42"/>
    <mergeCell ref="N43:N44"/>
    <mergeCell ref="O43:O44"/>
    <mergeCell ref="N25:N26"/>
    <mergeCell ref="O25:O26"/>
    <mergeCell ref="M19:M20"/>
    <mergeCell ref="M17:M18"/>
    <mergeCell ref="G17:G18"/>
    <mergeCell ref="G19:G20"/>
    <mergeCell ref="G21:G22"/>
    <mergeCell ref="G23:G24"/>
    <mergeCell ref="G25:G26"/>
    <mergeCell ref="G27:G28"/>
    <mergeCell ref="G29:G30"/>
    <mergeCell ref="P74:P75"/>
    <mergeCell ref="Q74:Q75"/>
    <mergeCell ref="P79:P80"/>
    <mergeCell ref="Q79:Q80"/>
    <mergeCell ref="P82:P83"/>
    <mergeCell ref="Q82:Q83"/>
    <mergeCell ref="I69:I70"/>
    <mergeCell ref="M63:M64"/>
    <mergeCell ref="M21:M22"/>
    <mergeCell ref="M41:M42"/>
    <mergeCell ref="M43:M44"/>
    <mergeCell ref="M23:M24"/>
    <mergeCell ref="M45:M46"/>
    <mergeCell ref="I65:I66"/>
    <mergeCell ref="M47:M48"/>
    <mergeCell ref="I41:I42"/>
    <mergeCell ref="Q77:Q78"/>
    <mergeCell ref="P77:P78"/>
    <mergeCell ref="M77:M78"/>
    <mergeCell ref="P70:P71"/>
    <mergeCell ref="Q70:Q71"/>
    <mergeCell ref="P72:P73"/>
    <mergeCell ref="Q72:Q73"/>
  </mergeCells>
  <phoneticPr fontId="2"/>
  <conditionalFormatting sqref="G33:G36">
    <cfRule type="cellIs" dxfId="101" priority="71" operator="equal">
      <formula>"YES"</formula>
    </cfRule>
  </conditionalFormatting>
  <conditionalFormatting sqref="G57:G78 Q84 Q86">
    <cfRule type="expression" dxfId="100" priority="35">
      <formula>COUNTIF($G$57:$G$78,"YES")&gt;1</formula>
    </cfRule>
  </conditionalFormatting>
  <conditionalFormatting sqref="G39:G40">
    <cfRule type="cellIs" dxfId="99" priority="70" operator="equal">
      <formula>"YES"</formula>
    </cfRule>
  </conditionalFormatting>
  <conditionalFormatting sqref="G43:G44">
    <cfRule type="cellIs" dxfId="98" priority="69" operator="equal">
      <formula>"YES"</formula>
    </cfRule>
  </conditionalFormatting>
  <conditionalFormatting sqref="M9:M10">
    <cfRule type="cellIs" dxfId="97" priority="68" operator="equal">
      <formula>"YES"</formula>
    </cfRule>
  </conditionalFormatting>
  <conditionalFormatting sqref="M11:M12">
    <cfRule type="cellIs" dxfId="96" priority="67" operator="equal">
      <formula>"YES"</formula>
    </cfRule>
  </conditionalFormatting>
  <conditionalFormatting sqref="M15:M16">
    <cfRule type="cellIs" dxfId="95" priority="66" operator="equal">
      <formula>"YES"</formula>
    </cfRule>
  </conditionalFormatting>
  <conditionalFormatting sqref="M17:M18">
    <cfRule type="cellIs" dxfId="94" priority="65" operator="equal">
      <formula>"YES"</formula>
    </cfRule>
  </conditionalFormatting>
  <conditionalFormatting sqref="M19:M20">
    <cfRule type="cellIs" dxfId="93" priority="64" operator="equal">
      <formula>"YES"</formula>
    </cfRule>
  </conditionalFormatting>
  <conditionalFormatting sqref="M21:M22">
    <cfRule type="cellIs" dxfId="92" priority="63" operator="equal">
      <formula>"YES"</formula>
    </cfRule>
  </conditionalFormatting>
  <conditionalFormatting sqref="M23:M24">
    <cfRule type="cellIs" dxfId="91" priority="62" operator="equal">
      <formula>"YES"</formula>
    </cfRule>
  </conditionalFormatting>
  <conditionalFormatting sqref="M25:M26">
    <cfRule type="cellIs" dxfId="90" priority="61" operator="equal">
      <formula>"YES"</formula>
    </cfRule>
  </conditionalFormatting>
  <conditionalFormatting sqref="M27:M28">
    <cfRule type="cellIs" dxfId="89" priority="60" operator="equal">
      <formula>"YES"</formula>
    </cfRule>
  </conditionalFormatting>
  <conditionalFormatting sqref="M29:M30">
    <cfRule type="cellIs" dxfId="88" priority="59" operator="equal">
      <formula>"YES"</formula>
    </cfRule>
  </conditionalFormatting>
  <conditionalFormatting sqref="M33:M34">
    <cfRule type="cellIs" dxfId="87" priority="58" operator="equal">
      <formula>"YES"</formula>
    </cfRule>
  </conditionalFormatting>
  <conditionalFormatting sqref="M35:M36">
    <cfRule type="cellIs" dxfId="86" priority="73" operator="equal">
      <formula>"YES"</formula>
    </cfRule>
  </conditionalFormatting>
  <conditionalFormatting sqref="M39:M40">
    <cfRule type="cellIs" dxfId="85" priority="57" operator="equal">
      <formula>"YES"</formula>
    </cfRule>
  </conditionalFormatting>
  <conditionalFormatting sqref="M43:M44">
    <cfRule type="cellIs" dxfId="84" priority="56" operator="equal">
      <formula>"YES"</formula>
    </cfRule>
  </conditionalFormatting>
  <conditionalFormatting sqref="M45:M46">
    <cfRule type="cellIs" dxfId="83" priority="55" operator="equal">
      <formula>"YES"</formula>
    </cfRule>
  </conditionalFormatting>
  <conditionalFormatting sqref="M47:M48">
    <cfRule type="cellIs" dxfId="82" priority="54" operator="equal">
      <formula>"YES"</formula>
    </cfRule>
  </conditionalFormatting>
  <conditionalFormatting sqref="M49:M50">
    <cfRule type="cellIs" dxfId="81" priority="52" operator="equal">
      <formula>"YES"</formula>
    </cfRule>
  </conditionalFormatting>
  <conditionalFormatting sqref="S27:S28">
    <cfRule type="cellIs" dxfId="80" priority="51" operator="equal">
      <formula>"YES"</formula>
    </cfRule>
  </conditionalFormatting>
  <conditionalFormatting sqref="S29:S30">
    <cfRule type="cellIs" dxfId="79" priority="50" operator="equal">
      <formula>"YES"</formula>
    </cfRule>
  </conditionalFormatting>
  <conditionalFormatting sqref="S33:S34">
    <cfRule type="cellIs" dxfId="78" priority="49" operator="equal">
      <formula>"YES"</formula>
    </cfRule>
  </conditionalFormatting>
  <conditionalFormatting sqref="S35:S36">
    <cfRule type="cellIs" dxfId="77" priority="48" operator="equal">
      <formula>"YES"</formula>
    </cfRule>
  </conditionalFormatting>
  <conditionalFormatting sqref="S37:S38">
    <cfRule type="cellIs" dxfId="76" priority="47" operator="equal">
      <formula>"YES"</formula>
    </cfRule>
  </conditionalFormatting>
  <conditionalFormatting sqref="S39:S40">
    <cfRule type="cellIs" dxfId="75" priority="46" operator="equal">
      <formula>"YES"</formula>
    </cfRule>
  </conditionalFormatting>
  <conditionalFormatting sqref="S41:S42">
    <cfRule type="cellIs" dxfId="74" priority="45" operator="equal">
      <formula>"YES"</formula>
    </cfRule>
  </conditionalFormatting>
  <conditionalFormatting sqref="S43:S44">
    <cfRule type="cellIs" dxfId="73" priority="44" operator="equal">
      <formula>"YES"</formula>
    </cfRule>
  </conditionalFormatting>
  <conditionalFormatting sqref="S49:S50">
    <cfRule type="cellIs" dxfId="72" priority="43" operator="equal">
      <formula>"YES"</formula>
    </cfRule>
  </conditionalFormatting>
  <conditionalFormatting sqref="S51:S52">
    <cfRule type="cellIs" dxfId="71" priority="42" operator="equal">
      <formula>"YES"</formula>
    </cfRule>
  </conditionalFormatting>
  <conditionalFormatting sqref="M83:M84">
    <cfRule type="cellIs" dxfId="70" priority="39" operator="equal">
      <formula>"YES"</formula>
    </cfRule>
  </conditionalFormatting>
  <conditionalFormatting sqref="M87:M88">
    <cfRule type="cellIs" dxfId="69" priority="38" operator="equal">
      <formula>"YES"</formula>
    </cfRule>
  </conditionalFormatting>
  <conditionalFormatting sqref="M91:M92">
    <cfRule type="cellIs" dxfId="68" priority="37" operator="equal">
      <formula>"YES"</formula>
    </cfRule>
  </conditionalFormatting>
  <conditionalFormatting sqref="G75:G76">
    <cfRule type="cellIs" dxfId="67" priority="74" operator="equal">
      <formula>"YES"</formula>
    </cfRule>
  </conditionalFormatting>
  <conditionalFormatting sqref="G77:G78">
    <cfRule type="cellIs" dxfId="66" priority="36" operator="equal">
      <formula>"YES"</formula>
    </cfRule>
  </conditionalFormatting>
  <conditionalFormatting sqref="G81:G82">
    <cfRule type="cellIs" dxfId="65" priority="34" operator="equal">
      <formula>"YES"</formula>
    </cfRule>
  </conditionalFormatting>
  <conditionalFormatting sqref="G83:G84">
    <cfRule type="cellIs" dxfId="64" priority="33" operator="equal">
      <formula>"YES"</formula>
    </cfRule>
  </conditionalFormatting>
  <conditionalFormatting sqref="G85:G86">
    <cfRule type="cellIs" dxfId="63" priority="32" operator="equal">
      <formula>"YES"</formula>
    </cfRule>
  </conditionalFormatting>
  <conditionalFormatting sqref="G87:G88">
    <cfRule type="cellIs" dxfId="62" priority="31" operator="equal">
      <formula>"YES"</formula>
    </cfRule>
  </conditionalFormatting>
  <conditionalFormatting sqref="G91:G92">
    <cfRule type="cellIs" dxfId="61" priority="30" operator="equal">
      <formula>"YES"</formula>
    </cfRule>
  </conditionalFormatting>
  <conditionalFormatting sqref="G81:G86 Q84 Q86">
    <cfRule type="expression" dxfId="60" priority="29">
      <formula>COUNTIF($G$81:$G$86,"YES")&gt;1</formula>
    </cfRule>
  </conditionalFormatting>
  <conditionalFormatting sqref="M9:M12 Q84 Q86 M15:M30">
    <cfRule type="expression" dxfId="59" priority="28">
      <formula>COUNTIF($M$9:$M$30,"YES")&gt;1</formula>
    </cfRule>
  </conditionalFormatting>
  <conditionalFormatting sqref="M33:M36 Q84 Q86">
    <cfRule type="expression" dxfId="58" priority="27">
      <formula>COUNTIF($M$33:$M$36,"YES")&gt;1</formula>
    </cfRule>
  </conditionalFormatting>
  <conditionalFormatting sqref="M43:M48 Q84 Q86">
    <cfRule type="expression" dxfId="57" priority="26">
      <formula>COUNTIF($M$43:$M$48,"YES")&gt;1</formula>
    </cfRule>
  </conditionalFormatting>
  <conditionalFormatting sqref="M81:M84 Q86">
    <cfRule type="expression" dxfId="56" priority="25">
      <formula>COUNTIF($M$81:$M$84,"YES")&gt;1</formula>
    </cfRule>
  </conditionalFormatting>
  <conditionalFormatting sqref="S9:S30 Q84 Q86">
    <cfRule type="expression" dxfId="55" priority="24">
      <formula>COUNTIF($S$9:$S$30,"YES")&gt;1</formula>
    </cfRule>
  </conditionalFormatting>
  <conditionalFormatting sqref="S33:S38 Q84 Q86">
    <cfRule type="expression" dxfId="54" priority="23">
      <formula>COUNTIF($S$33:$S$38,"YES")&gt;1</formula>
    </cfRule>
  </conditionalFormatting>
  <conditionalFormatting sqref="S39:S42 Q84 Q86">
    <cfRule type="expression" dxfId="53" priority="22">
      <formula>COUNTIF($S$39:$S$42,"YES")&gt;1</formula>
    </cfRule>
  </conditionalFormatting>
  <conditionalFormatting sqref="S49:S52 Q84 Q86">
    <cfRule type="expression" dxfId="52" priority="21">
      <formula>COUNTIF($S$49:$S$52,"YES")&gt;1</formula>
    </cfRule>
  </conditionalFormatting>
  <conditionalFormatting sqref="M39 M47 Q84 Q86">
    <cfRule type="expression" dxfId="51" priority="20">
      <formula>IF(AND($M$47="YES",COUNTIF($M$39,"YES")&gt;0),TRUE,FALSE)</formula>
    </cfRule>
  </conditionalFormatting>
  <conditionalFormatting sqref="S37 S9:S30 Q84 Q86">
    <cfRule type="expression" dxfId="50" priority="19">
      <formula>IF(AND($S$37="YES",COUNTIF($S$9:$S$30,"YES")&gt;0),TRUE,FALSE)</formula>
    </cfRule>
  </conditionalFormatting>
  <conditionalFormatting sqref="M91 M87 Q84 Q86">
    <cfRule type="expression" dxfId="49" priority="18">
      <formula>IF(AND($M$91="YES",COUNTIF($M$87,"YES")&gt;0),TRUE,FALSE)</formula>
    </cfRule>
  </conditionalFormatting>
  <conditionalFormatting sqref="G85 G57:G78 Q84 Q86">
    <cfRule type="expression" dxfId="48" priority="17">
      <formula>IF(AND($G$85="YES",COUNTIF($G$57:$G$78,"YES")&gt;0),TRUE,FALSE)</formula>
    </cfRule>
  </conditionalFormatting>
  <conditionalFormatting sqref="Q74:Q75">
    <cfRule type="cellIs" dxfId="47" priority="16" operator="between">
      <formula>0</formula>
      <formula>4</formula>
    </cfRule>
    <cfRule type="cellIs" dxfId="46" priority="3" operator="equal">
      <formula>0</formula>
    </cfRule>
  </conditionalFormatting>
  <conditionalFormatting sqref="Q79:Q80">
    <cfRule type="expression" dxfId="45" priority="15">
      <formula>($Q$77="YES")</formula>
    </cfRule>
  </conditionalFormatting>
  <conditionalFormatting sqref="Q77:Q78">
    <cfRule type="expression" dxfId="44" priority="14">
      <formula>($Q$77="YES")</formula>
    </cfRule>
  </conditionalFormatting>
  <conditionalFormatting sqref="Q84 Q86">
    <cfRule type="expression" dxfId="43" priority="72">
      <formula>$Q$86&gt;=14</formula>
    </cfRule>
    <cfRule type="expression" dxfId="42" priority="75">
      <formula>IF(AND($Q$86&gt;=12,$Q$86&lt;14),TRUE,FALSE)</formula>
    </cfRule>
  </conditionalFormatting>
  <conditionalFormatting sqref="Q84 Q86">
    <cfRule type="expression" dxfId="41" priority="13">
      <formula>$Q$86&lt;12</formula>
    </cfRule>
  </conditionalFormatting>
  <conditionalFormatting sqref="G33:G36 Q84 Q86">
    <cfRule type="expression" dxfId="40" priority="53">
      <formula>COUNTIF($G$33:$G$36,"YES")&gt;1</formula>
    </cfRule>
  </conditionalFormatting>
  <conditionalFormatting sqref="M57:M58">
    <cfRule type="expression" dxfId="39" priority="11">
      <formula>IF(AND($G$85="YES",COUNTIF($G$57:$G$78,"YES")&gt;0),TRUE,FALSE)</formula>
    </cfRule>
  </conditionalFormatting>
  <conditionalFormatting sqref="Q72:Q75">
    <cfRule type="expression" dxfId="38" priority="6">
      <formula>($Q$72="YES")</formula>
    </cfRule>
  </conditionalFormatting>
  <conditionalFormatting sqref="M9:M12 M15:M30 M33:M36 M39 M43:M50 Q77 Q77:Q80 Q84:Q87">
    <cfRule type="expression" dxfId="37" priority="4">
      <formula>IF(AND($Q$77="YES",COUNTIF($M$9:$M$52,"YES")&gt;0),TRUE,FALSE)</formula>
    </cfRule>
  </conditionalFormatting>
  <dataValidations count="8">
    <dataValidation type="list" allowBlank="1" showInputMessage="1" showErrorMessage="1" sqref="G33:G36 G39:G40 G43:G44 M39:M40 G75:G78 G81:G88 G91:G92 Q77:Q78 M91:M92 M33:M36 S49:S52 M15:M30 M9:M12 M87:M88 M43:M50 S27:S30 S33:S44 M83:M84 Q72:Q73" xr:uid="{4F0A18FE-A8B4-42E5-80D6-63CEAE094946}">
      <formula1>"-,YES"</formula1>
    </dataValidation>
    <dataValidation type="textLength" allowBlank="1" showInputMessage="1" showErrorMessage="1" sqref="G15 G17 G19 G21 G23 G25 G27 G29 G9 G11 G13 G31 G79 G93 G97 G89 G95 M31 G49 G51 M37 M41 M51 G37 G41 G45 G47 M93 M97 M95 M59 M63 M61 M65 M69 M67 M71 M73 M75 M79 M77 M85 M89 S31 S45 S47 M13" xr:uid="{329B66F1-B892-49CF-ABB7-8AF31BA58F8A}">
      <formula1>0</formula1>
      <formula2>0</formula2>
    </dataValidation>
    <dataValidation type="list" showInputMessage="1" showErrorMessage="1" sqref="G3:I3" xr:uid="{B0EB49C3-9BA2-4EE9-BF2C-345D10BD2ABB}">
      <formula1>"Shool,Graduate School"</formula1>
    </dataValidation>
    <dataValidation type="list" allowBlank="1" showInputMessage="1" showErrorMessage="1" sqref="E3:F3" xr:uid="{7C52C32F-381A-4AF3-88B5-039833C1B0D4}">
      <formula1>"Economics,Engneering,Engneering Science,Foreign Studies,Human Sciences,Law,Letters,Science"</formula1>
    </dataValidation>
    <dataValidation type="textLength" allowBlank="1" showInputMessage="1" showErrorMessage="1" sqref="E2:I2" xr:uid="{3C58BA7D-5FCE-4C84-BE2E-0FD100B81504}">
      <formula1>8</formula1>
      <formula2>8</formula2>
    </dataValidation>
    <dataValidation imeMode="off" allowBlank="1" showInputMessage="1" showErrorMessage="1" sqref="E52 Q48:R48 E92 E98 E82 E96 K96 K82 K58 K36 Q34:R34" xr:uid="{E3E2F74A-660C-4E1F-A607-B019E0823AFD}"/>
    <dataValidation allowBlank="1" showErrorMessage="1" promptTitle="希望開講曜日・時間" prompt="開講希望曜日と時間を入力してください。調整が必要な場合、OUSSEPコーディネーターより連絡させていただきます。" sqref="I93:J96 C89:D95" xr:uid="{2F164207-DF83-4E0B-8FF8-C2DACF41C0B3}"/>
    <dataValidation allowBlank="1" showErrorMessage="1" sqref="D39:E40 C39" xr:uid="{C016456A-0258-402F-8FE1-26EA52615398}"/>
  </dataValidations>
  <printOptions horizontalCentered="1" verticalCentered="1"/>
  <pageMargins left="0.23622047244094491" right="0.23622047244094491" top="0.35433070866141736" bottom="0.35433070866141736" header="0.31496062992125984" footer="0.31496062992125984"/>
  <pageSetup paperSize="8" scale="5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zoomScale="110" zoomScaleNormal="110" workbookViewId="0">
      <selection activeCell="E36" sqref="E36"/>
    </sheetView>
  </sheetViews>
  <sheetFormatPr defaultRowHeight="13.5" x14ac:dyDescent="0.15"/>
  <cols>
    <col min="1" max="1" width="9.5" bestFit="1" customWidth="1"/>
    <col min="2" max="2" width="6" bestFit="1" customWidth="1"/>
    <col min="3" max="3" width="4.875" bestFit="1" customWidth="1"/>
    <col min="4" max="4" width="6.5" bestFit="1" customWidth="1"/>
    <col min="5" max="14" width="9" customWidth="1"/>
  </cols>
  <sheetData>
    <row r="1" spans="1:14" x14ac:dyDescent="0.15">
      <c r="A1" t="s">
        <v>56</v>
      </c>
      <c r="B1" s="13" t="s">
        <v>34</v>
      </c>
      <c r="C1" s="13" t="s">
        <v>35</v>
      </c>
      <c r="D1" s="13" t="s">
        <v>36</v>
      </c>
      <c r="E1" s="13" t="s">
        <v>37</v>
      </c>
      <c r="F1" s="13" t="s">
        <v>38</v>
      </c>
      <c r="G1" s="13" t="s">
        <v>39</v>
      </c>
      <c r="H1" s="13" t="s">
        <v>40</v>
      </c>
      <c r="I1" s="13" t="s">
        <v>41</v>
      </c>
      <c r="J1" s="13"/>
      <c r="L1" s="14" t="s">
        <v>47</v>
      </c>
      <c r="M1" s="15" t="s">
        <v>48</v>
      </c>
      <c r="N1" s="16" t="s">
        <v>49</v>
      </c>
    </row>
    <row r="2" spans="1:14" x14ac:dyDescent="0.15">
      <c r="A2">
        <f>[0]!StudentID</f>
        <v>0</v>
      </c>
      <c r="B2" t="str">
        <f>[0]!FirstName &amp; " " &amp; [0]!FamilyName</f>
        <v xml:space="preserve"> </v>
      </c>
      <c r="C2" s="13" t="s">
        <v>42</v>
      </c>
      <c r="D2" s="13">
        <v>1</v>
      </c>
    </row>
    <row r="3" spans="1:14" x14ac:dyDescent="0.15">
      <c r="A3">
        <f>[0]!StudentID</f>
        <v>0</v>
      </c>
      <c r="B3" t="str">
        <f>[0]!FirstName &amp; " " &amp; [0]!FamilyName</f>
        <v xml:space="preserve"> </v>
      </c>
      <c r="C3" s="13" t="s">
        <v>42</v>
      </c>
      <c r="D3" s="13">
        <v>2</v>
      </c>
      <c r="E3" s="18" t="str">
        <f>IFERROR( INDEX([0]!Monday2, MATCH("YES", [0]!Monday2_Y, 0), 2), "")</f>
        <v/>
      </c>
      <c r="F3" t="str">
        <f>IF(N3=1, "", INDEX(Monday2, M3+1, 3))</f>
        <v/>
      </c>
      <c r="G3" t="str">
        <f>IF($N3=1, "", IF(INDEX(Monday2, $M3+1, 4)="", INDEX(Monday2, $M3, 4), INDEX(Monday2, $M3+1, 4)))</f>
        <v/>
      </c>
      <c r="H3" t="str">
        <f>IF($N3=1, "", INDEX(Monday2, $M3, 1))</f>
        <v/>
      </c>
      <c r="I3" t="str">
        <f>IF($N3=1, "", IF(INDEX(Monday2, $M3+1, 5)="", INDEX(Monday2, $M3, 5), INDEX(Monday2, $M3+1, 5)))</f>
        <v/>
      </c>
      <c r="L3">
        <f>COUNTIF(Monday2_Y, "YES")</f>
        <v>0</v>
      </c>
      <c r="M3" t="str">
        <f>IF(L3&gt;=1, MATCH("Yes", Monday2_Y, 0), "")</f>
        <v/>
      </c>
      <c r="N3">
        <f>IF(L3&lt;&gt;1, 1, 0)</f>
        <v>1</v>
      </c>
    </row>
    <row r="4" spans="1:14" x14ac:dyDescent="0.15">
      <c r="A4">
        <f>[0]!StudentID</f>
        <v>0</v>
      </c>
      <c r="B4" t="str">
        <f>[0]!FirstName &amp; " " &amp; [0]!FamilyName</f>
        <v xml:space="preserve"> </v>
      </c>
      <c r="C4" s="13" t="s">
        <v>42</v>
      </c>
      <c r="D4" s="13">
        <v>3</v>
      </c>
      <c r="E4" s="18" t="str">
        <f>IFERROR( INDEX([0]!Monday3, MATCH("YES", [0]!Monday3_Y, 0), 2), "")</f>
        <v/>
      </c>
      <c r="F4" t="str">
        <f>IF(N4=1, "", INDEX(Monday3, M4+1, 3))</f>
        <v/>
      </c>
      <c r="G4" t="str">
        <f>IF($N4=1, "", IF(INDEX(Monday3, $M4+1, 4)="", INDEX(Monday3, $M4, 4), INDEX(Monday3, $M4+1, 4)))</f>
        <v/>
      </c>
      <c r="H4" t="str">
        <f>IF($N4=1, "", INDEX(Monday3, $M4, 1))</f>
        <v/>
      </c>
      <c r="I4" t="str">
        <f>IF($N4=1, "", IF(INDEX(Monday3, $M4+1, 5)="", INDEX(Monday3, $M4, 5), INDEX(Monday3, $M4+1, 5)))</f>
        <v/>
      </c>
      <c r="L4">
        <f>COUNTIF(Monday3_Y, "YES")</f>
        <v>0</v>
      </c>
      <c r="M4" t="str">
        <f>IF(L4&gt;=1, MATCH("Yes", Monday3_Y, 0), "")</f>
        <v/>
      </c>
      <c r="N4">
        <f t="shared" ref="N4:N5" si="0">IF(L4&lt;&gt;1, 1, 0)</f>
        <v>1</v>
      </c>
    </row>
    <row r="5" spans="1:14" x14ac:dyDescent="0.15">
      <c r="A5">
        <f>[0]!StudentID</f>
        <v>0</v>
      </c>
      <c r="B5" t="str">
        <f>[0]!FirstName &amp; " " &amp; [0]!FamilyName</f>
        <v xml:space="preserve"> </v>
      </c>
      <c r="C5" s="13" t="s">
        <v>42</v>
      </c>
      <c r="D5" s="13">
        <v>4</v>
      </c>
      <c r="E5" s="18" t="str">
        <f>IFERROR( INDEX([0]!Monday4, MATCH("YES", [0]!Monday4_Y, 0), 2), "")</f>
        <v/>
      </c>
      <c r="F5" t="str">
        <f>IF(N5=1, "", INDEX(Monday4, M5+1, 3))</f>
        <v/>
      </c>
      <c r="G5" t="str">
        <f>IF($N5=1, "", IF(INDEX(Monday4, $M5+1, 4)="", INDEX(Monday4, $M5, 4), INDEX(Monday4, $M5+1, 4)))</f>
        <v/>
      </c>
      <c r="H5" t="str">
        <f>IF($N5=1, "", INDEX(Monday4, $M5, 1))</f>
        <v/>
      </c>
      <c r="I5" t="str">
        <f>IF($N5=1, "", IF(INDEX(Monday4, $M5+1, 5)="", INDEX(Monday4, $M5, 5), INDEX(Monday4, $M5+1, 5)))</f>
        <v/>
      </c>
      <c r="L5">
        <f>COUNTIF(Monday4_Y, "YES")</f>
        <v>0</v>
      </c>
      <c r="M5" t="str">
        <f>IF(L5&gt;=1, MATCH("Yes", Monday4_Y, 0), "")</f>
        <v/>
      </c>
      <c r="N5">
        <f t="shared" si="0"/>
        <v>1</v>
      </c>
    </row>
    <row r="6" spans="1:14" x14ac:dyDescent="0.15">
      <c r="A6">
        <f>[0]!StudentID</f>
        <v>0</v>
      </c>
      <c r="B6" t="str">
        <f>[0]!FirstName &amp; " " &amp; [0]!FamilyName</f>
        <v xml:space="preserve"> </v>
      </c>
      <c r="C6" s="13" t="s">
        <v>42</v>
      </c>
      <c r="D6" s="13">
        <v>5</v>
      </c>
      <c r="E6" s="18" t="str">
        <f>IFERROR( INDEX([0]!Monday5, MATCH("YES", [0]!Monday5_Y, 0), 2), "")</f>
        <v/>
      </c>
      <c r="F6" t="str">
        <f>IF(N6=1, "", INDEX(Monday5, M6+1, 3))</f>
        <v/>
      </c>
      <c r="G6" t="str">
        <f>IF($N6=1, "", IF(INDEX(Monday5, $M6+1, 4)="", INDEX(Monday5, $M6, 4), INDEX(Monday5, $M6+1, 4)))</f>
        <v/>
      </c>
      <c r="H6" t="str">
        <f>IF($N6=1, "", INDEX(Monday5, $M6, 1))</f>
        <v/>
      </c>
      <c r="I6" t="str">
        <f>IF($N6=1, "", IF(INDEX(Monday5, $M6+1, 5)="", INDEX(Monday5, $M6, 5), INDEX(Monday5, $M6+1, 5)))</f>
        <v/>
      </c>
      <c r="L6">
        <f>COUNTIF(Monday5_Y, "YES")</f>
        <v>0</v>
      </c>
      <c r="M6" t="str">
        <f>IF(L6&gt;=1, MATCH("Yes", Monday5_Y, 0), "")</f>
        <v/>
      </c>
      <c r="N6">
        <f t="shared" ref="N6" si="1">IF(L6&lt;&gt;1, 1, 0)</f>
        <v>1</v>
      </c>
    </row>
    <row r="7" spans="1:14" x14ac:dyDescent="0.15">
      <c r="A7">
        <f>[0]!StudentID</f>
        <v>0</v>
      </c>
      <c r="B7" t="str">
        <f>[0]!FirstName &amp; " " &amp; [0]!FamilyName</f>
        <v xml:space="preserve"> </v>
      </c>
      <c r="C7" s="13" t="s">
        <v>43</v>
      </c>
      <c r="D7" s="13">
        <v>1</v>
      </c>
      <c r="E7" s="18" t="str">
        <f>IFERROR( INDEX([0]!Tuesday1, MATCH("YES", [0]!Tuesday1_Y, 0), 2), "")</f>
        <v/>
      </c>
      <c r="F7" t="str">
        <f>IF(N7=1, "", INDEX(Tuesday1, M7+1, 3))</f>
        <v/>
      </c>
      <c r="G7" t="str">
        <f>IF($N7=1, "", IF(INDEX(Tuesday1, $M7+1, 4)="", INDEX(Tuesday1, $M7, 4), INDEX(Tuesday1, $M7+1, 4)))</f>
        <v/>
      </c>
      <c r="H7" t="str">
        <f>IF($N7=1, "", INDEX(Tuesday1, $M7, 1))</f>
        <v/>
      </c>
      <c r="I7" t="str">
        <f>IF($N7=1, "", IF(INDEX(Tuesday1, $M7+1, 5)="", INDEX(Tuesday1, $M7, 5), INDEX(Tuesday1, $M7+1, 5)))</f>
        <v/>
      </c>
      <c r="L7">
        <f>COUNTIF(Tuesday1_Y, "YES")</f>
        <v>0</v>
      </c>
      <c r="M7" t="str">
        <f>IF(L7&gt;=1, MATCH("Yes", Tuesday1_Y, 0), "")</f>
        <v/>
      </c>
      <c r="N7">
        <f t="shared" ref="N7:N21" si="2">IF(L7&lt;&gt;1, 1, 0)</f>
        <v>1</v>
      </c>
    </row>
    <row r="8" spans="1:14" x14ac:dyDescent="0.15">
      <c r="A8">
        <f>[0]!StudentID</f>
        <v>0</v>
      </c>
      <c r="B8" t="str">
        <f>[0]!FirstName &amp; " " &amp; [0]!FamilyName</f>
        <v xml:space="preserve"> </v>
      </c>
      <c r="C8" s="13" t="s">
        <v>43</v>
      </c>
      <c r="D8" s="13">
        <v>2</v>
      </c>
      <c r="E8" s="18" t="str">
        <f>IFERROR( INDEX([0]!Tuesday2, MATCH("YES", [0]!Tuesday2_Y, 0), 2), "")</f>
        <v/>
      </c>
      <c r="F8" t="str">
        <f>IF(N8=1, "", INDEX(Tuesday2, M8+1, 3))</f>
        <v/>
      </c>
      <c r="G8" t="str">
        <f>IF($N8=1, "", IF(INDEX(Tuesday2, $M8+1, 4)="", INDEX(Tuesday2, $M8, 4), INDEX(Tuesday2, $M8+1, 4)))</f>
        <v/>
      </c>
      <c r="H8" t="str">
        <f>IF($N8=1, "", INDEX(Tuesday2, $M8, 1))</f>
        <v/>
      </c>
      <c r="I8" t="str">
        <f>IF($N8=1, "", IF(INDEX(Tuesday2, $M8+1, 5)="", INDEX(Tuesday2, $M8, 5), INDEX(Tuesday2, $M8+1, 5)))</f>
        <v/>
      </c>
      <c r="L8">
        <f>COUNTIF(Tuesday2_Y, "YES")</f>
        <v>0</v>
      </c>
      <c r="M8" t="str">
        <f>IF(L8&gt;=1, MATCH("Yes", Tuesday2_Y, 0), "")</f>
        <v/>
      </c>
      <c r="N8">
        <f t="shared" si="2"/>
        <v>1</v>
      </c>
    </row>
    <row r="9" spans="1:14" x14ac:dyDescent="0.15">
      <c r="A9">
        <f>[0]!StudentID</f>
        <v>0</v>
      </c>
      <c r="B9" t="str">
        <f>[0]!FirstName &amp; " " &amp; [0]!FamilyName</f>
        <v xml:space="preserve"> </v>
      </c>
      <c r="C9" s="13" t="s">
        <v>43</v>
      </c>
      <c r="D9" s="13">
        <v>3</v>
      </c>
      <c r="E9" s="18" t="str">
        <f>IFERROR( INDEX([0]!Tuesday3, MATCH("YES", [0]!Tuesday3_Y, 0), 2), "")</f>
        <v/>
      </c>
      <c r="F9" t="str">
        <f>IF(N9=1, "", INDEX(Tuesday3, M9+1, 3))</f>
        <v/>
      </c>
      <c r="G9" t="str">
        <f>IF($N9=1, "", IF(INDEX(Tuesday3, $M9+1, 4)="", INDEX(Tuesday3, $M9, 4), INDEX(Tuesday3, $M9+1, 4)))</f>
        <v/>
      </c>
      <c r="H9" t="str">
        <f>IF($N9=1, "", INDEX(Tuesday3, $M9, 1))</f>
        <v/>
      </c>
      <c r="I9" t="str">
        <f>IF($N9=1, "", IF(INDEX(Tuesday3, $M9+1, 5)="", INDEX(Tuesday3, $M9, 5), INDEX(Tuesday3, $M9+1, 5)))</f>
        <v/>
      </c>
      <c r="L9">
        <f>COUNTIF(Tuesday3_Y, "YES")</f>
        <v>0</v>
      </c>
      <c r="M9" t="str">
        <f>IF(L9&gt;=1, MATCH("Yes",Tuesday3_Y, 0), "")</f>
        <v/>
      </c>
      <c r="N9">
        <f t="shared" si="2"/>
        <v>1</v>
      </c>
    </row>
    <row r="10" spans="1:14" x14ac:dyDescent="0.15">
      <c r="A10">
        <f>[0]!StudentID</f>
        <v>0</v>
      </c>
      <c r="B10" t="str">
        <f>[0]!FirstName &amp; " " &amp; [0]!FamilyName</f>
        <v xml:space="preserve"> </v>
      </c>
      <c r="C10" s="13" t="s">
        <v>43</v>
      </c>
      <c r="D10" s="13">
        <v>4</v>
      </c>
      <c r="E10" s="18" t="str">
        <f>IFERROR( INDEX([0]!Tuesday4, MATCH("YES", [0]!Tuesday4_Y, 0), 2), "")</f>
        <v/>
      </c>
      <c r="F10" t="str">
        <f>IF(N10=1, "", INDEX(Tuesday4, M10+1, 3))</f>
        <v/>
      </c>
      <c r="G10" t="str">
        <f>IF($N10=1, "", IF(INDEX(Tuesday4, $M10+1, 4)="", INDEX(Tuesday4, $M10, 4), INDEX(Tuesday4, $M10+1, 4)))</f>
        <v/>
      </c>
      <c r="H10" t="str">
        <f>IF($N10=1, "", INDEX(Tuesday4, $M10, 1))</f>
        <v/>
      </c>
      <c r="I10" t="str">
        <f>IF($N10=1, "", IF(INDEX(Tuesday4, $M10+1, 5)="", INDEX(Tuesday4, $M10, 5), INDEX(Tuesday4, $M10+1, 5)))</f>
        <v/>
      </c>
      <c r="L10">
        <f>COUNTIF(Tuesday4_Y, "YES")</f>
        <v>0</v>
      </c>
      <c r="M10" t="str">
        <f>IF(L10&gt;=1, MATCH("Yes", Tuesday4_Y, 0), "")</f>
        <v/>
      </c>
      <c r="N10">
        <f t="shared" si="2"/>
        <v>1</v>
      </c>
    </row>
    <row r="11" spans="1:14" x14ac:dyDescent="0.15">
      <c r="A11">
        <f>[0]!StudentID</f>
        <v>0</v>
      </c>
      <c r="B11" t="str">
        <f>[0]!FirstName &amp; " " &amp; [0]!FamilyName</f>
        <v xml:space="preserve"> </v>
      </c>
      <c r="C11" s="13" t="s">
        <v>43</v>
      </c>
      <c r="D11">
        <v>5</v>
      </c>
      <c r="E11" s="18" t="str">
        <f>IFERROR( INDEX([0]!Tuesday5, MATCH("YES", [0]!Tuesday5_Y, 0), 2), "")</f>
        <v/>
      </c>
      <c r="F11" t="str">
        <f>IF(N11=1, "", INDEX(Tuesday5, M11+1, 3))</f>
        <v/>
      </c>
      <c r="G11" t="str">
        <f>IF($N11=1, "", IF(INDEX(Tuesday5, $M11+1, 4)="", INDEX(Tuesday5, $M11, 4), INDEX(Tuesday5, $M11+1, 4)))</f>
        <v/>
      </c>
      <c r="H11" t="str">
        <f>IF($N11=1, "", INDEX(Tuesday5, $M11, 1))</f>
        <v/>
      </c>
      <c r="I11" t="str">
        <f>IF($N11=1, "", IF(INDEX(Tuesday5, $M11+1, 5)="", INDEX(Tuesday5, $M11, 5), INDEX(Tuesday5, $M11+1, 5)))</f>
        <v/>
      </c>
      <c r="L11">
        <f>COUNTIF(Tuesday5_Y, "YES")</f>
        <v>0</v>
      </c>
      <c r="M11" t="str">
        <f>IF(L11&gt;=1, MATCH("Yes", Tuesday5_Y, 0), "")</f>
        <v/>
      </c>
      <c r="N11">
        <f t="shared" si="2"/>
        <v>1</v>
      </c>
    </row>
    <row r="12" spans="1:14" x14ac:dyDescent="0.15">
      <c r="A12">
        <f>[0]!StudentID</f>
        <v>0</v>
      </c>
      <c r="B12" t="str">
        <f>[0]!FirstName &amp; " " &amp; [0]!FamilyName</f>
        <v xml:space="preserve"> </v>
      </c>
      <c r="C12" s="13" t="s">
        <v>44</v>
      </c>
      <c r="D12" s="13">
        <v>1</v>
      </c>
      <c r="E12" s="18" t="str">
        <f>IFERROR( INDEX([0]!Wednesday1, MATCH("YES", [0]!Wednesday1_Y, 0), 2), "")</f>
        <v/>
      </c>
      <c r="F12" t="str">
        <f>IF(N12=1, "", INDEX(Wednesday1, M12+1, 3))</f>
        <v/>
      </c>
      <c r="G12" t="str">
        <f>IF($N12=1, "", IF(INDEX(Wednesday1, $M12+1, 4)="", INDEX(Wednesday1, $M12, 4), INDEX(Wednesday1, $M12+1, 4)))</f>
        <v/>
      </c>
      <c r="H12" t="str">
        <f>IF($N12=1, "", INDEX(Wednesday1, $M12, 1))</f>
        <v/>
      </c>
      <c r="I12" t="str">
        <f>IF($N12=1, "", IF(INDEX(Wednesday1, $M12+1, 5)="", INDEX(Wednesday1, $M12, 5), INDEX(Wednesday1, $M12+1, 5)))</f>
        <v/>
      </c>
      <c r="L12">
        <f>COUNTIF(Wednesday1_Y, "YES")</f>
        <v>0</v>
      </c>
      <c r="M12" t="str">
        <f>IF(L12&gt;=1, MATCH("Yes", Wednesday1_Y, 0), "")</f>
        <v/>
      </c>
      <c r="N12">
        <f t="shared" si="2"/>
        <v>1</v>
      </c>
    </row>
    <row r="13" spans="1:14" x14ac:dyDescent="0.15">
      <c r="A13">
        <f>[0]!StudentID</f>
        <v>0</v>
      </c>
      <c r="B13" t="str">
        <f>[0]!FirstName &amp; " " &amp; [0]!FamilyName</f>
        <v xml:space="preserve"> </v>
      </c>
      <c r="C13" s="13" t="s">
        <v>44</v>
      </c>
      <c r="D13" s="13">
        <v>2</v>
      </c>
      <c r="E13" s="18" t="str">
        <f>IFERROR( INDEX([0]!Wednesday2, MATCH("YES", [0]!Wednesday2_Y, 0), 2), "")</f>
        <v/>
      </c>
      <c r="F13" t="str">
        <f>IF(N13=1, "", INDEX(Wednesday2, M13+1, 3))</f>
        <v/>
      </c>
      <c r="G13" t="str">
        <f>IF($N13=1, "", IF(INDEX(Wednesday2, $M13+1, 4)="", INDEX(Wednesday2, $M13, 4), INDEX(Wednesday2, $M13+1, 4)))</f>
        <v/>
      </c>
      <c r="H13" t="str">
        <f>IF($N13=1, "", INDEX(Wednesday2, $M13, 1))</f>
        <v/>
      </c>
      <c r="I13" t="str">
        <f>IF($N13=1, "", IF(INDEX(Wednesday2, $M13+1, 5)="", INDEX(Wednesday2, $M13, 5), INDEX(Wednesday2, $M13+1, 5)))</f>
        <v/>
      </c>
      <c r="L13">
        <f>COUNTIF(Wednesday2_Y, "YES")</f>
        <v>0</v>
      </c>
      <c r="M13" t="str">
        <f>IF(L13&gt;=1, MATCH("Yes", Wednesday2_Y, 0), "")</f>
        <v/>
      </c>
      <c r="N13">
        <f t="shared" si="2"/>
        <v>1</v>
      </c>
    </row>
    <row r="14" spans="1:14" x14ac:dyDescent="0.15">
      <c r="A14">
        <f>[0]!StudentID</f>
        <v>0</v>
      </c>
      <c r="B14" t="str">
        <f>[0]!FirstName &amp; " " &amp; [0]!FamilyName</f>
        <v xml:space="preserve"> </v>
      </c>
      <c r="C14" s="13" t="s">
        <v>44</v>
      </c>
      <c r="D14" s="13">
        <v>3</v>
      </c>
      <c r="E14" s="18" t="str">
        <f>IFERROR( INDEX([0]!Wednesday3, MATCH("YES", [0]!Wednesday3_Y, 0), 2), "")</f>
        <v/>
      </c>
      <c r="F14" t="str">
        <f>IF(N14=1, "", INDEX(Wednesday3, M14+1, 3))</f>
        <v/>
      </c>
      <c r="G14" t="str">
        <f>IF($N14=1, "", IF(INDEX(Wednesday3, $M14+1, 4)="", INDEX(Wednesday3, $M14, 4), INDEX(Wednesday3, $M14+1, 4)))</f>
        <v/>
      </c>
      <c r="H14" t="str">
        <f>IF($N14=1, "", INDEX(Wednesday3, $M14, 1))</f>
        <v/>
      </c>
      <c r="I14" t="str">
        <f>IF($N14=1, "", IF(INDEX(Wednesday3, $M14+1, 5)="", INDEX(Wednesday3, $M14, 5), INDEX(Wednesday3, $M14+1, 5)))</f>
        <v/>
      </c>
      <c r="L14">
        <f>COUNTIF(Wednesday3_Y, "YES")</f>
        <v>0</v>
      </c>
      <c r="M14" t="str">
        <f>IF(L14&gt;=1, MATCH("Yes", Wednesday3_Y, 0), "")</f>
        <v/>
      </c>
      <c r="N14">
        <f t="shared" si="2"/>
        <v>1</v>
      </c>
    </row>
    <row r="15" spans="1:14" x14ac:dyDescent="0.15">
      <c r="A15">
        <f>[0]!StudentID</f>
        <v>0</v>
      </c>
      <c r="B15" t="str">
        <f>[0]!FirstName &amp; " " &amp; [0]!FamilyName</f>
        <v xml:space="preserve"> </v>
      </c>
      <c r="C15" s="13" t="s">
        <v>44</v>
      </c>
      <c r="D15" s="13">
        <v>4</v>
      </c>
      <c r="E15" s="18" t="str">
        <f>IFERROR( INDEX([0]!Wednesday4, MATCH("YES", [0]!Wednesday4_Y, 0), 2), "")</f>
        <v/>
      </c>
      <c r="F15" t="str">
        <f>IF(N15=1, "", INDEX(Wednesday4, M15+1, 3))</f>
        <v/>
      </c>
      <c r="G15" t="str">
        <f>IF($N15=1, "", IF(INDEX(Wednesday4, $M15+1, 4)="", INDEX(Wednesday4, $M15, 4), INDEX(Wednesday4, $M15+1, 4)))</f>
        <v/>
      </c>
      <c r="H15" t="str">
        <f>IF($N15=1, "", INDEX(Wednesday4, $M15, 1))</f>
        <v/>
      </c>
      <c r="I15" t="str">
        <f>IF($N15=1, "", IF(INDEX(Wednesday4, $M15+1, 5)="", INDEX(Wednesday4, $M15, 5), INDEX(Wednesday4, $M15+1, 5)))</f>
        <v/>
      </c>
      <c r="L15">
        <f>COUNTIF(Wednesday4_Y, "YES")</f>
        <v>0</v>
      </c>
      <c r="M15" t="str">
        <f>IF(L15&gt;=1, MATCH("Yes", Wednesday4_Y, 0), "")</f>
        <v/>
      </c>
      <c r="N15">
        <f t="shared" si="2"/>
        <v>1</v>
      </c>
    </row>
    <row r="16" spans="1:14" x14ac:dyDescent="0.15">
      <c r="A16">
        <f>[0]!StudentID</f>
        <v>0</v>
      </c>
      <c r="B16" t="str">
        <f>[0]!FirstName &amp; " " &amp; [0]!FamilyName</f>
        <v xml:space="preserve"> </v>
      </c>
      <c r="C16" s="13" t="s">
        <v>44</v>
      </c>
      <c r="D16" s="13">
        <v>5</v>
      </c>
      <c r="E16" s="18" t="str">
        <f>IFERROR( INDEX([0]!Wednesday5, MATCH("YES", [0]!Wednesday5_Y, 0), 2), "")</f>
        <v/>
      </c>
      <c r="F16" t="str">
        <f>IF(N16=1, "", INDEX(Wednesday5, M16+1, 3))</f>
        <v/>
      </c>
      <c r="G16" t="str">
        <f>IF($N16=1, "", IF(INDEX(Wednesday5, $M16+1, 4)="", INDEX(Wednesday5, $M16, 4), INDEX(Wednesday5, $M16+1, 4)))</f>
        <v/>
      </c>
      <c r="H16" t="str">
        <f>IF($N16=1, "", INDEX(Wednesday5, $M16, 1))</f>
        <v/>
      </c>
      <c r="I16" t="str">
        <f>IF($N16=1, "", IF(INDEX(Wednesday5, $M16+1, 5)="", INDEX(Wednesday5, $M16, 5), INDEX(Wednesday5, $M16+1, 5)))</f>
        <v/>
      </c>
      <c r="L16">
        <f>COUNTIF(Wednesday5_Y, "YES")</f>
        <v>0</v>
      </c>
      <c r="M16" t="str">
        <f>IF(L16&gt;=1, MATCH("Yes", Wednesday5_Y, 0), "")</f>
        <v/>
      </c>
      <c r="N16">
        <f t="shared" si="2"/>
        <v>1</v>
      </c>
    </row>
    <row r="17" spans="1:14" x14ac:dyDescent="0.15">
      <c r="A17">
        <f>[0]!StudentID</f>
        <v>0</v>
      </c>
      <c r="B17" t="str">
        <f>[0]!FirstName &amp; " " &amp; [0]!FamilyName</f>
        <v xml:space="preserve"> </v>
      </c>
      <c r="C17" s="13" t="s">
        <v>45</v>
      </c>
      <c r="D17" s="13">
        <v>1</v>
      </c>
      <c r="E17" s="18" t="str">
        <f>IFERROR( INDEX([0]!Thursday1, MATCH("YES", [0]!Thursday1_Y, 0), 2), "")</f>
        <v/>
      </c>
      <c r="F17" t="str">
        <f>IF(N17=1, "", INDEX(Thursday1, M17+1, 3))</f>
        <v/>
      </c>
      <c r="G17" t="str">
        <f>IF($N17=1, "", IF(INDEX(Thursday1, $M17+1, 4)="", INDEX(Thursday1, $M17, 4), INDEX(Thursday1, $M17+1, 4)))</f>
        <v/>
      </c>
      <c r="H17" t="str">
        <f>IF($N17=1, "", INDEX(Thursday1, $M17, 1))</f>
        <v/>
      </c>
      <c r="I17" t="str">
        <f>IF($N17=1, "", IF(INDEX(Thursday1, $M17+1, 5)="", INDEX(Thursday1, $M17, 5), INDEX(Thursday1, $M17+1, 5)))</f>
        <v/>
      </c>
      <c r="L17">
        <f>COUNTIF(Thursday1_Y, "YES")</f>
        <v>0</v>
      </c>
      <c r="M17" t="str">
        <f>IF(L17&gt;=1, MATCH("Yes", Thursday1_Y, 0), "")</f>
        <v/>
      </c>
      <c r="N17">
        <f t="shared" si="2"/>
        <v>1</v>
      </c>
    </row>
    <row r="18" spans="1:14" x14ac:dyDescent="0.15">
      <c r="A18">
        <f>[0]!StudentID</f>
        <v>0</v>
      </c>
      <c r="B18" t="str">
        <f>[0]!FirstName &amp; " " &amp; [0]!FamilyName</f>
        <v xml:space="preserve"> </v>
      </c>
      <c r="C18" s="13" t="s">
        <v>45</v>
      </c>
      <c r="D18" s="13">
        <v>2</v>
      </c>
      <c r="E18" s="18" t="str">
        <f>IFERROR( INDEX([0]!Thursday2, MATCH("YES", [0]!Thursday2_Y, 0), 2), "")</f>
        <v/>
      </c>
      <c r="F18" t="str">
        <f>IF(N18=1, "", INDEX(Thursday2, M18+1, 3))</f>
        <v/>
      </c>
      <c r="G18" t="str">
        <f>IF($N18=1, "", IF(INDEX(Thursday2, $M18+1, 4)="", INDEX(Thursday2, $M18, 4), INDEX(Thursday2, $M18+1, 4)))</f>
        <v/>
      </c>
      <c r="H18" t="str">
        <f>IF($N18=1, "", INDEX(Thursday2, $M18, 1))</f>
        <v/>
      </c>
      <c r="I18" t="str">
        <f>IF($N18=1, "", IF(INDEX(Thursday2, $M18+1, 5)="", INDEX(Thursday2, $M18, 5), INDEX(Thursday2, $M18+1, 5)))</f>
        <v/>
      </c>
      <c r="L18">
        <f>COUNTIF(Thursday2_Y, "YES")</f>
        <v>0</v>
      </c>
      <c r="M18" t="str">
        <f>IF(L18&gt;=1, MATCH("Yes", Thursday2_Y, 0), "")</f>
        <v/>
      </c>
      <c r="N18">
        <f t="shared" si="2"/>
        <v>1</v>
      </c>
    </row>
    <row r="19" spans="1:14" x14ac:dyDescent="0.15">
      <c r="A19">
        <f>[0]!StudentID</f>
        <v>0</v>
      </c>
      <c r="B19" t="str">
        <f>[0]!FirstName &amp; " " &amp; [0]!FamilyName</f>
        <v xml:space="preserve"> </v>
      </c>
      <c r="C19" s="13" t="s">
        <v>45</v>
      </c>
      <c r="D19" s="13">
        <v>3</v>
      </c>
      <c r="E19" s="18" t="str">
        <f>IFERROR( INDEX([0]!Thursday3, MATCH("YES", [0]!Thursday3_Y, 0), 2), "")</f>
        <v/>
      </c>
      <c r="F19" t="str">
        <f>IF(N19=1, "", INDEX(Thursday3, M19+1, 3))</f>
        <v/>
      </c>
      <c r="G19" t="str">
        <f>IF($N19=1, "", IF(INDEX(Thursday3, $M19+1, 4)="", INDEX(Thursday3, $M19, 4), INDEX(Thursday3, $M19+1, 4)))</f>
        <v/>
      </c>
      <c r="H19" t="str">
        <f>IF($N19=1, "", INDEX(Thursday3, $M19, 1))</f>
        <v/>
      </c>
      <c r="I19" t="str">
        <f>IF($N19=1, "", IF(INDEX(Thursday3, $M19+1, 5)="", INDEX(Thursday3, $M19, 5), INDEX(Thursday3, $M19+1, 5)))</f>
        <v/>
      </c>
      <c r="L19">
        <f>COUNTIF(Thursday3_Y, "YES")</f>
        <v>0</v>
      </c>
      <c r="M19" t="str">
        <f>IF(L19&gt;=1, MATCH("Yes", Thursday3_Y, 0), "")</f>
        <v/>
      </c>
      <c r="N19">
        <f t="shared" si="2"/>
        <v>1</v>
      </c>
    </row>
    <row r="20" spans="1:14" x14ac:dyDescent="0.15">
      <c r="A20">
        <f>[0]!StudentID</f>
        <v>0</v>
      </c>
      <c r="B20" t="str">
        <f>[0]!FirstName &amp; " " &amp; [0]!FamilyName</f>
        <v xml:space="preserve"> </v>
      </c>
      <c r="C20" s="13" t="s">
        <v>45</v>
      </c>
      <c r="D20" s="13">
        <v>4</v>
      </c>
      <c r="E20" s="18" t="str">
        <f>IFERROR( INDEX([0]!Thursday4, MATCH("YES", [0]!Thursday4_Y, 0), 2), "")</f>
        <v/>
      </c>
      <c r="F20" t="str">
        <f>IF(N20=1, "", INDEX(Thursday4, M20+1, 3))</f>
        <v/>
      </c>
      <c r="G20" t="str">
        <f>IF($N20=1, "", IF(INDEX(Thursday4, $M20+1, 4)="", INDEX(Thursday4, $M20, 4), INDEX(Thursday4, $M20+1, 4)))</f>
        <v/>
      </c>
      <c r="H20" t="str">
        <f>IF($N20=1, "", INDEX(Thursday4, $M20, 1))</f>
        <v/>
      </c>
      <c r="I20" t="str">
        <f>IF($N20=1, "", IF(INDEX(Thursday4, $M20+1, 5)="", INDEX(Thursday4, $M20, 5), INDEX(Thursday4, $M20+1, 5)))</f>
        <v/>
      </c>
      <c r="L20">
        <f>COUNTIF(Thursday4_Y, "YES")</f>
        <v>0</v>
      </c>
      <c r="M20" t="str">
        <f>IF(L20&gt;=1, MATCH("Yes", Thursday4_Y, 0), "")</f>
        <v/>
      </c>
      <c r="N20">
        <f t="shared" si="2"/>
        <v>1</v>
      </c>
    </row>
    <row r="21" spans="1:14" x14ac:dyDescent="0.15">
      <c r="A21">
        <f>[0]!StudentID</f>
        <v>0</v>
      </c>
      <c r="B21" t="str">
        <f>[0]!FirstName &amp; " " &amp; [0]!FamilyName</f>
        <v xml:space="preserve"> </v>
      </c>
      <c r="C21" s="13" t="s">
        <v>45</v>
      </c>
      <c r="D21">
        <v>5</v>
      </c>
      <c r="E21" s="18" t="str">
        <f>IFERROR( INDEX([0]!Thursday5, MATCH("YES", [0]!Thursday5_Y, 0), 2), "")</f>
        <v/>
      </c>
      <c r="F21" t="str">
        <f>IF(N21=1, "", INDEX(Thursday5, M21+1, 3))</f>
        <v/>
      </c>
      <c r="G21" t="str">
        <f>IF($N21=1, "", IF(INDEX(Thursday5, $M21+1, 4)="", INDEX(Thursday5, $M21, 4), INDEX(Thursday5, $M21+1, 4)))</f>
        <v/>
      </c>
      <c r="H21" t="str">
        <f>IF($N21=1, "", INDEX(Thursday5, $M21, 1))</f>
        <v/>
      </c>
      <c r="I21" t="str">
        <f>IF($N21=1, "", IF(INDEX(Thursday5, $M21+1, 5)="", INDEX(Thursday5, $M21, 5), INDEX(Thursday5, $M21+1, 5)))</f>
        <v/>
      </c>
      <c r="L21">
        <f>COUNTIF(Thursday5_Y, "YES")</f>
        <v>0</v>
      </c>
      <c r="M21" t="str">
        <f>IF(L21&gt;=1, MATCH("Yes", Thursday5_Y, 0), "")</f>
        <v/>
      </c>
      <c r="N21">
        <f t="shared" si="2"/>
        <v>1</v>
      </c>
    </row>
    <row r="22" spans="1:14" x14ac:dyDescent="0.15">
      <c r="A22">
        <f>[0]!StudentID</f>
        <v>0</v>
      </c>
      <c r="B22" t="str">
        <f>[0]!FirstName &amp; " " &amp; [0]!FamilyName</f>
        <v xml:space="preserve"> </v>
      </c>
      <c r="C22" s="13" t="s">
        <v>46</v>
      </c>
      <c r="D22" s="13">
        <v>1</v>
      </c>
      <c r="E22" s="18"/>
    </row>
    <row r="23" spans="1:14" x14ac:dyDescent="0.15">
      <c r="A23">
        <f>[0]!StudentID</f>
        <v>0</v>
      </c>
      <c r="B23" t="str">
        <f>[0]!FirstName &amp; " " &amp; [0]!FamilyName</f>
        <v xml:space="preserve"> </v>
      </c>
      <c r="C23" s="13" t="s">
        <v>46</v>
      </c>
      <c r="D23" s="13">
        <v>2</v>
      </c>
      <c r="E23" s="18" t="str">
        <f>IFERROR( INDEX([0]!Friday2, MATCH("YES", [0]!Friday2_Y, 0), 2), "")</f>
        <v/>
      </c>
      <c r="F23" t="str">
        <f>IF(N23=1, "", INDEX(Friday2, M23+1, 3))</f>
        <v/>
      </c>
      <c r="G23" t="str">
        <f>IF($N23=1, "", IF(INDEX(Friday2, $M23+1, 4)="", INDEX(Friday2, $M23, 4), INDEX(Friday2, $M23+1, 4)))</f>
        <v/>
      </c>
      <c r="H23" t="str">
        <f>IF($N23=1, "", INDEX(Friday2, $M23, 1))</f>
        <v/>
      </c>
      <c r="I23" t="str">
        <f>IF($N23=1, "", IF(INDEX(Friday2, $M23+1, 5)="", INDEX(Friday2, $M23, 5), INDEX(Friday2, $M23+1, 5)))</f>
        <v/>
      </c>
      <c r="L23">
        <f>COUNTIF(Friday2_Y, "YES")</f>
        <v>0</v>
      </c>
      <c r="M23" t="str">
        <f>IF(L23&gt;=1, MATCH("Yes", Friday2_Y, 0), "")</f>
        <v/>
      </c>
      <c r="N23">
        <f>IF(L23&lt;&gt;1, 1, 0)</f>
        <v>1</v>
      </c>
    </row>
    <row r="24" spans="1:14" x14ac:dyDescent="0.15">
      <c r="A24">
        <f>[0]!StudentID</f>
        <v>0</v>
      </c>
      <c r="B24" t="str">
        <f>[0]!FirstName &amp; " " &amp; [0]!FamilyName</f>
        <v xml:space="preserve"> </v>
      </c>
      <c r="C24" s="13" t="s">
        <v>46</v>
      </c>
      <c r="D24" s="13">
        <v>3</v>
      </c>
      <c r="E24" s="18" t="str">
        <f>IFERROR( INDEX([0]!Friday3, MATCH("YES", [0]!Friday3_Y, 0), 2), "")</f>
        <v/>
      </c>
      <c r="F24" t="str">
        <f>IF(N24=1, "", INDEX(Friday3, M24+1, 3))</f>
        <v/>
      </c>
      <c r="G24" t="str">
        <f>IF($N24=1, "", IF(INDEX(Friday3, $M24+1, 4)="", INDEX(Friday3, $M24, 4), INDEX(Friday3, $M24+1, 4)))</f>
        <v/>
      </c>
      <c r="H24" t="str">
        <f>IF($N24=1, "", INDEX(Friday3, $M24, 1))</f>
        <v/>
      </c>
      <c r="I24" t="str">
        <f>IF($N24=1, "", IF(INDEX(Friday3, $M24+1, 5)="", INDEX(Friday3, $M24, 5), INDEX(Friday3, $M24+1, 5)))</f>
        <v/>
      </c>
      <c r="L24">
        <f>COUNTIF(Friday3_Y, "YES")</f>
        <v>0</v>
      </c>
      <c r="M24" t="str">
        <f>IF(L24&gt;=1, MATCH("Yes", Friday3_Y, 0), "")</f>
        <v/>
      </c>
      <c r="N24">
        <f>IF(L24&lt;&gt;1, 1, 0)</f>
        <v>1</v>
      </c>
    </row>
    <row r="25" spans="1:14" x14ac:dyDescent="0.15">
      <c r="A25">
        <f>[0]!StudentID</f>
        <v>0</v>
      </c>
      <c r="B25" t="str">
        <f>[0]!FirstName &amp; " " &amp; [0]!FamilyName</f>
        <v xml:space="preserve"> </v>
      </c>
      <c r="C25" s="13" t="s">
        <v>46</v>
      </c>
      <c r="D25" s="13">
        <v>4</v>
      </c>
      <c r="E25" s="18" t="str">
        <f>IFERROR( INDEX([0]!Friday4, MATCH("YES", [0]!Friday4_Y, 0), 2), "")</f>
        <v/>
      </c>
      <c r="F25" t="str">
        <f>IF(N25=1, "", INDEX(Friday4, M25+1, 3))</f>
        <v/>
      </c>
      <c r="G25" t="str">
        <f>IF($N25=1, "", IF(INDEX(Friday4, $M25+1, 4)="", INDEX(Friday4, $M25, 4), INDEX(Friday4, $M25+1, 4)))</f>
        <v/>
      </c>
      <c r="H25" t="str">
        <f>IF($N25=1, "", INDEX(Friday4, $M25, 1))</f>
        <v/>
      </c>
      <c r="I25" t="str">
        <f>IF($N25=1, "", IF(INDEX(Friday4, $M25+1, 5)="", INDEX(Friday4, $M25, 5), INDEX(Friday4, $M25+1, 5)))</f>
        <v/>
      </c>
      <c r="L25">
        <f>COUNTIF(Friday4_Y, "YES")</f>
        <v>0</v>
      </c>
      <c r="M25" t="str">
        <f>IF(L25&gt;=1, MATCH("Yes", Friday4_Y, 0), "")</f>
        <v/>
      </c>
      <c r="N25">
        <f>IF(L25&lt;&gt;1, 1, 0)</f>
        <v>1</v>
      </c>
    </row>
    <row r="26" spans="1:14" x14ac:dyDescent="0.15">
      <c r="A26">
        <f>[0]!StudentID</f>
        <v>0</v>
      </c>
      <c r="B26" t="str">
        <f>[0]!FirstName &amp; " " &amp; [0]!FamilyName</f>
        <v xml:space="preserve"> </v>
      </c>
      <c r="C26" s="13" t="s">
        <v>46</v>
      </c>
      <c r="D26" s="13">
        <v>5</v>
      </c>
      <c r="E26" s="18" t="str">
        <f>IFERROR( INDEX([0]!Friday5, MATCH("YES", [0]!Friday5_Y, 0), 2), "")</f>
        <v/>
      </c>
      <c r="F26" t="str">
        <f>IF(N26=1, "", INDEX(Friday5, M26+1, 3))</f>
        <v/>
      </c>
      <c r="G26" t="str">
        <f>IF($N26=1, "", IF(INDEX(Friday5, $M26+1, 4)="", INDEX(Friday5, $M26, 4), INDEX(Friday5, $M26+1, 4)))</f>
        <v/>
      </c>
      <c r="H26" t="str">
        <f>IF($N26=1, "", INDEX(Friday5, $M26, 1))</f>
        <v/>
      </c>
      <c r="I26" t="str">
        <f>IF($N26=1, "", IF(INDEX(Friday5, $M26+1, 5)="", INDEX(Friday5, $M26, 5), INDEX(Friday5, $M26+1, 5)))</f>
        <v/>
      </c>
      <c r="L26">
        <f>COUNTIF(Friday5_Y, "YES")</f>
        <v>0</v>
      </c>
      <c r="M26" t="str">
        <f>IF(L26&gt;=1, MATCH("Yes", Friday5_Y, 0), "")</f>
        <v/>
      </c>
      <c r="N26">
        <f>IF(L26&lt;&gt;1, 1, 0)</f>
        <v>1</v>
      </c>
    </row>
  </sheetData>
  <phoneticPr fontId="2"/>
  <conditionalFormatting sqref="D25:D26">
    <cfRule type="expression" dxfId="36" priority="6">
      <formula>$N$5=2</formula>
    </cfRule>
  </conditionalFormatting>
  <conditionalFormatting sqref="C3">
    <cfRule type="expression" dxfId="35" priority="37">
      <formula>$N$3=2</formula>
    </cfRule>
  </conditionalFormatting>
  <conditionalFormatting sqref="C4">
    <cfRule type="expression" dxfId="34" priority="36">
      <formula>$N$4=2</formula>
    </cfRule>
  </conditionalFormatting>
  <conditionalFormatting sqref="C5">
    <cfRule type="expression" dxfId="33" priority="35">
      <formula>$N$5=2</formula>
    </cfRule>
  </conditionalFormatting>
  <conditionalFormatting sqref="C7">
    <cfRule type="expression" dxfId="32" priority="34">
      <formula>$N$8=2</formula>
    </cfRule>
  </conditionalFormatting>
  <conditionalFormatting sqref="C8">
    <cfRule type="expression" dxfId="31" priority="33">
      <formula>$N$9=2</formula>
    </cfRule>
  </conditionalFormatting>
  <conditionalFormatting sqref="C9">
    <cfRule type="expression" dxfId="30" priority="32">
      <formula>$N$10=2</formula>
    </cfRule>
  </conditionalFormatting>
  <conditionalFormatting sqref="C12">
    <cfRule type="expression" dxfId="29" priority="30">
      <formula>$N$14=2</formula>
    </cfRule>
  </conditionalFormatting>
  <conditionalFormatting sqref="C13">
    <cfRule type="expression" dxfId="28" priority="29">
      <formula>$N$15=2</formula>
    </cfRule>
  </conditionalFormatting>
  <conditionalFormatting sqref="C14">
    <cfRule type="expression" dxfId="27" priority="27">
      <formula>$N$17=2</formula>
    </cfRule>
  </conditionalFormatting>
  <conditionalFormatting sqref="C17">
    <cfRule type="expression" dxfId="26" priority="26">
      <formula>$N$20=2</formula>
    </cfRule>
  </conditionalFormatting>
  <conditionalFormatting sqref="C18">
    <cfRule type="expression" dxfId="25" priority="24">
      <formula>$N$22=2</formula>
    </cfRule>
  </conditionalFormatting>
  <conditionalFormatting sqref="C19">
    <cfRule type="expression" dxfId="24" priority="23">
      <formula>$N$23=2</formula>
    </cfRule>
  </conditionalFormatting>
  <conditionalFormatting sqref="C23">
    <cfRule type="expression" dxfId="23" priority="22">
      <formula>#REF!=2</formula>
    </cfRule>
  </conditionalFormatting>
  <conditionalFormatting sqref="C25">
    <cfRule type="expression" dxfId="22" priority="21">
      <formula>#REF!=2</formula>
    </cfRule>
  </conditionalFormatting>
  <conditionalFormatting sqref="D3">
    <cfRule type="expression" dxfId="21" priority="20">
      <formula>$N$3=2</formula>
    </cfRule>
  </conditionalFormatting>
  <conditionalFormatting sqref="D4">
    <cfRule type="expression" dxfId="20" priority="19">
      <formula>$N$4=2</formula>
    </cfRule>
  </conditionalFormatting>
  <conditionalFormatting sqref="D5:D6">
    <cfRule type="expression" dxfId="19" priority="18">
      <formula>$N$5=2</formula>
    </cfRule>
  </conditionalFormatting>
  <conditionalFormatting sqref="D8">
    <cfRule type="expression" dxfId="18" priority="17">
      <formula>$N$3=2</formula>
    </cfRule>
  </conditionalFormatting>
  <conditionalFormatting sqref="D9">
    <cfRule type="expression" dxfId="17" priority="16">
      <formula>$N$4=2</formula>
    </cfRule>
  </conditionalFormatting>
  <conditionalFormatting sqref="D10">
    <cfRule type="expression" dxfId="16" priority="15">
      <formula>$N$5=2</formula>
    </cfRule>
  </conditionalFormatting>
  <conditionalFormatting sqref="D13">
    <cfRule type="expression" dxfId="15" priority="14">
      <formula>$N$3=2</formula>
    </cfRule>
  </conditionalFormatting>
  <conditionalFormatting sqref="D14">
    <cfRule type="expression" dxfId="14" priority="13">
      <formula>$N$4=2</formula>
    </cfRule>
  </conditionalFormatting>
  <conditionalFormatting sqref="D15:D16">
    <cfRule type="expression" dxfId="13" priority="12">
      <formula>$N$5=2</formula>
    </cfRule>
  </conditionalFormatting>
  <conditionalFormatting sqref="D18">
    <cfRule type="expression" dxfId="12" priority="11">
      <formula>$N$3=2</formula>
    </cfRule>
  </conditionalFormatting>
  <conditionalFormatting sqref="D19">
    <cfRule type="expression" dxfId="11" priority="10">
      <formula>$N$4=2</formula>
    </cfRule>
  </conditionalFormatting>
  <conditionalFormatting sqref="D20">
    <cfRule type="expression" dxfId="10" priority="9">
      <formula>$N$5=2</formula>
    </cfRule>
  </conditionalFormatting>
  <conditionalFormatting sqref="D23">
    <cfRule type="expression" dxfId="9" priority="8">
      <formula>$N$3=2</formula>
    </cfRule>
  </conditionalFormatting>
  <conditionalFormatting sqref="D24">
    <cfRule type="expression" dxfId="8" priority="7">
      <formula>$N$4=2</formula>
    </cfRule>
  </conditionalFormatting>
  <conditionalFormatting sqref="C10">
    <cfRule type="expression" dxfId="7" priority="67">
      <formula>$N$12=2</formula>
    </cfRule>
  </conditionalFormatting>
  <conditionalFormatting sqref="C15">
    <cfRule type="expression" dxfId="6" priority="69">
      <formula>$N$18=2</formula>
    </cfRule>
  </conditionalFormatting>
  <conditionalFormatting sqref="C20">
    <cfRule type="expression" dxfId="5" priority="72">
      <formula>$N$24=2</formula>
    </cfRule>
  </conditionalFormatting>
  <conditionalFormatting sqref="C6">
    <cfRule type="expression" dxfId="4" priority="5">
      <formula>$N$5=2</formula>
    </cfRule>
  </conditionalFormatting>
  <conditionalFormatting sqref="C11">
    <cfRule type="expression" dxfId="3" priority="4">
      <formula>$N$12=2</formula>
    </cfRule>
  </conditionalFormatting>
  <conditionalFormatting sqref="C16">
    <cfRule type="expression" dxfId="2" priority="3">
      <formula>$N$18=2</formula>
    </cfRule>
  </conditionalFormatting>
  <conditionalFormatting sqref="C21">
    <cfRule type="expression" dxfId="1" priority="2">
      <formula>$N$24=2</formula>
    </cfRule>
  </conditionalFormatting>
  <conditionalFormatting sqref="C26">
    <cfRule type="expression" dxfId="0" priority="1">
      <formula>#REF!=2</formula>
    </cfRule>
  </conditionalFormatting>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4:D6"/>
  <sheetViews>
    <sheetView workbookViewId="0">
      <selection activeCell="D7" sqref="D7"/>
    </sheetView>
  </sheetViews>
  <sheetFormatPr defaultRowHeight="13.5" x14ac:dyDescent="0.15"/>
  <sheetData>
    <row r="4" spans="1:4" x14ac:dyDescent="0.15">
      <c r="A4">
        <v>2017</v>
      </c>
      <c r="B4" t="s">
        <v>1</v>
      </c>
      <c r="C4" t="s">
        <v>3</v>
      </c>
      <c r="D4" t="s">
        <v>0</v>
      </c>
    </row>
    <row r="5" spans="1:4" x14ac:dyDescent="0.15">
      <c r="A5">
        <v>2018</v>
      </c>
      <c r="B5" t="s">
        <v>2</v>
      </c>
      <c r="C5" t="s">
        <v>4</v>
      </c>
      <c r="D5" t="s">
        <v>5</v>
      </c>
    </row>
    <row r="6" spans="1:4" x14ac:dyDescent="0.15">
      <c r="D6" t="s">
        <v>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Timetable（2021ｆｗ・秋冬学期) </vt:lpstr>
      <vt:lpstr>Sheet2</vt:lpstr>
      <vt:lpstr>Sheet1</vt:lpstr>
      <vt:lpstr>FamilyName</vt:lpstr>
      <vt:lpstr>FirstName</vt:lpstr>
      <vt:lpstr>Friday2</vt:lpstr>
      <vt:lpstr>Friday2_Y</vt:lpstr>
      <vt:lpstr>Friday3</vt:lpstr>
      <vt:lpstr>Friday3_Y</vt:lpstr>
      <vt:lpstr>Friday4</vt:lpstr>
      <vt:lpstr>Friday4_Y</vt:lpstr>
      <vt:lpstr>Friday5</vt:lpstr>
      <vt:lpstr>Friday5_Y</vt:lpstr>
      <vt:lpstr>Monday2</vt:lpstr>
      <vt:lpstr>Monday2_Y</vt:lpstr>
      <vt:lpstr>Monday3</vt:lpstr>
      <vt:lpstr>Monday3_Y</vt:lpstr>
      <vt:lpstr>Monday4</vt:lpstr>
      <vt:lpstr>Monday4_Y</vt:lpstr>
      <vt:lpstr>Monday5</vt:lpstr>
      <vt:lpstr>Monday5_Y</vt:lpstr>
      <vt:lpstr>'Timetable（2021ｆｗ・秋冬学期) '!Print_Area</vt:lpstr>
      <vt:lpstr>StudentID</vt:lpstr>
      <vt:lpstr>Thursday1</vt:lpstr>
      <vt:lpstr>Thursday1_Y</vt:lpstr>
      <vt:lpstr>Thursday2</vt:lpstr>
      <vt:lpstr>Thursday2_Y</vt:lpstr>
      <vt:lpstr>Thursday3</vt:lpstr>
      <vt:lpstr>Thursday3_Y</vt:lpstr>
      <vt:lpstr>Thursday4</vt:lpstr>
      <vt:lpstr>Thursday4_Y</vt:lpstr>
      <vt:lpstr>Thursday5</vt:lpstr>
      <vt:lpstr>Thursday5_Y</vt:lpstr>
      <vt:lpstr>Tuesday1</vt:lpstr>
      <vt:lpstr>Tuesday1_Y</vt:lpstr>
      <vt:lpstr>Tuesday2</vt:lpstr>
      <vt:lpstr>Tuesday2_Y</vt:lpstr>
      <vt:lpstr>Tuesday3</vt:lpstr>
      <vt:lpstr>Tuesday3_Y</vt:lpstr>
      <vt:lpstr>Tuesday4</vt:lpstr>
      <vt:lpstr>Tuesday4_Y</vt:lpstr>
      <vt:lpstr>Tuesday5</vt:lpstr>
      <vt:lpstr>Tuesday5_Y</vt:lpstr>
      <vt:lpstr>Wednesday1</vt:lpstr>
      <vt:lpstr>Wednesday1_Y</vt:lpstr>
      <vt:lpstr>Wednesday2</vt:lpstr>
      <vt:lpstr>Wednesday2_Y</vt:lpstr>
      <vt:lpstr>Wednesday3</vt:lpstr>
      <vt:lpstr>Wednesday3_Y</vt:lpstr>
      <vt:lpstr>Wednesday4</vt:lpstr>
      <vt:lpstr>Wednesday4_Y</vt:lpstr>
      <vt:lpstr>Wednesday5</vt:lpstr>
      <vt:lpstr>Wednesday5_Y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宮錦　智晴</dc:creator>
  <cp:lastModifiedBy>step</cp:lastModifiedBy>
  <cp:lastPrinted>2021-03-29T00:00:39Z</cp:lastPrinted>
  <dcterms:created xsi:type="dcterms:W3CDTF">2011-08-23T07:43:52Z</dcterms:created>
  <dcterms:modified xsi:type="dcterms:W3CDTF">2021-09-22T03:30:20Z</dcterms:modified>
</cp:coreProperties>
</file>