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mc:AlternateContent xmlns:mc="http://schemas.openxmlformats.org/markup-compatibility/2006">
    <mc:Choice Requires="x15">
      <x15ac:absPath xmlns:x15ac="http://schemas.microsoft.com/office/spreadsheetml/2010/11/ac" url="C:\Users\u872912e\Desktop\2021SSオリテ\Orientation\2021SS Registration forms\"/>
    </mc:Choice>
  </mc:AlternateContent>
  <xr:revisionPtr revIDLastSave="0" documentId="13_ncr:1_{213FCB66-C3F7-4285-90A4-C6885BFB729D}" xr6:coauthVersionLast="36" xr6:coauthVersionMax="46" xr10:uidLastSave="{00000000-0000-0000-0000-000000000000}"/>
  <bookViews>
    <workbookView xWindow="-120" yWindow="-120" windowWidth="29040" windowHeight="15840" xr2:uid="{00000000-000D-0000-FFFF-FFFF00000000}"/>
  </bookViews>
  <sheets>
    <sheet name="Timetable（2021・春夏学期) " sheetId="17" r:id="rId1"/>
    <sheet name="Sheet2" sheetId="18" r:id="rId2"/>
    <sheet name="Sheet1" sheetId="2" state="hidden" r:id="rId3"/>
  </sheets>
  <definedNames>
    <definedName name="_xlnm._FilterDatabase" localSheetId="1" hidden="1">Sheet2!$B$1:$I$25</definedName>
    <definedName name="FamilyName">'Timetable（2021・春夏学期) '!$E$4</definedName>
    <definedName name="FirstName">'Timetable（2021・春夏学期) '!$E$5</definedName>
    <definedName name="Friday2">'Timetable（2021・春夏学期) '!$H$81:$M$82</definedName>
    <definedName name="Friday2_Y">'Timetable（2021・春夏学期) '!$M$81:$M$82</definedName>
    <definedName name="Friday4">'Timetable（2021・春夏学期) '!$H$87:$M$88</definedName>
    <definedName name="Friday4_Y">'Timetable（2021・春夏学期) '!$M$87:$M$88</definedName>
    <definedName name="Friday5">'Timetable（2021・春夏学期) '!$H$91:$M$92</definedName>
    <definedName name="Friday5_Y">'Timetable（2021・春夏学期) '!$M$91:$M$92</definedName>
    <definedName name="Monday2">'Timetable（2021・春夏学期) '!$B$33:$G$36</definedName>
    <definedName name="Monday2_Y">'Timetable（2021・春夏学期) '!$G$33:$G$36</definedName>
    <definedName name="Monday3">'Timetable（2021・春夏学期) '!$B$37:$G$38</definedName>
    <definedName name="Monday3_Y">'Timetable（2021・春夏学期) '!$G$37:$G$38</definedName>
    <definedName name="Monday4">'Timetable（2021・春夏学期) '!$B$41:$G$42</definedName>
    <definedName name="Monday4_Y">'Timetable（2021・春夏学期) '!$G$41:$G$42</definedName>
    <definedName name="Monday5">'Timetable（2021・春夏学期) '!$B$47:$G$48</definedName>
    <definedName name="Monday5_Y">'Timetable（2021・春夏学期) '!$G$47:$G$48</definedName>
    <definedName name="_xlnm.Print_Area" localSheetId="0">'Timetable（2021・春夏学期) '!$A$7:$R$52</definedName>
    <definedName name="StudentID">'Timetable（2021・春夏学期) '!$E$2</definedName>
    <definedName name="Thursday1">'Timetable（2021・春夏学期) '!$B$71:$G$74</definedName>
    <definedName name="Thursday1_Y">'Timetable（2021・春夏学期) '!$G$71:$G$74</definedName>
    <definedName name="Thursday2">'Timetable（2021・春夏学期) '!$B$79:$G$82</definedName>
    <definedName name="Thursday2_Y">'Timetable（2021・春夏学期) '!$G$79:$G$82</definedName>
    <definedName name="Thursday3">'Timetable（2021・春夏学期) '!$B$83:$G$84</definedName>
    <definedName name="Thursday3_Y">'Timetable（2021・春夏学期) '!$G$83:$G$84</definedName>
    <definedName name="Thursday4">'Timetable（2021・春夏学期) '!$B$87:$G$88</definedName>
    <definedName name="Thursday4_Y">'Timetable（2021・春夏学期) '!$G$87:$G$88</definedName>
    <definedName name="Thursday5">'Timetable（2021・春夏学期) '!$B$91:$G$92</definedName>
    <definedName name="Thursday5_Y">'Timetable（2021・春夏学期) '!$G$91:$G$92</definedName>
    <definedName name="Tuesday1">'Timetable（2021・春夏学期) '!$H$9:$M$30</definedName>
    <definedName name="Tuesday1_Y">'Timetable（2021・春夏学期) '!$M$9:$M$30</definedName>
    <definedName name="Tuesday2">'Timetable（2021・春夏学期) '!$H$33:$M$36</definedName>
    <definedName name="Tuesday2_Y">'Timetable（2021・春夏学期) '!$M$33:$M$36</definedName>
    <definedName name="Tuesday3">'Timetable（2021・春夏学期) '!$H$37:$M$40</definedName>
    <definedName name="Tuesday3_Y">'Timetable（2021・春夏学期) '!$M$37:$M$40</definedName>
    <definedName name="Tuesday4">'Timetable（2021・春夏学期) '!$H$41:$M$46</definedName>
    <definedName name="Tuesday4_Y">'Timetable（2021・春夏学期) '!$M$41:$M$46</definedName>
    <definedName name="Wednesday1">'Timetable（2021・春夏学期) '!$N$25:$S$28</definedName>
    <definedName name="Wednesday1_Y">'Timetable（2021・春夏学期) '!$S$25:$S$28</definedName>
    <definedName name="Wednesday2">'Timetable（2021・春夏学期) '!$N$33:$S$36</definedName>
    <definedName name="Wednesday2_Y">'Timetable（2021・春夏学期) '!$S$33:$S$36</definedName>
    <definedName name="Wednesday3">'Timetable（2021・春夏学期) '!$N$37:$S$40</definedName>
    <definedName name="Wednesday3_Y">'Timetable（2021・春夏学期) '!$S$37:$S$40</definedName>
    <definedName name="Wednesday4">'Timetable（2021・春夏学期) '!$N$41:$S$44</definedName>
    <definedName name="Wednesday4_Y">'Timetable（2021・春夏学期) '!$S$41:$S$44</definedName>
  </definedNames>
  <calcPr calcId="191029"/>
</workbook>
</file>

<file path=xl/calcChain.xml><?xml version="1.0" encoding="utf-8"?>
<calcChain xmlns="http://schemas.openxmlformats.org/spreadsheetml/2006/main">
  <c r="Q84" i="17" l="1"/>
  <c r="Q79" i="17"/>
  <c r="Q86" i="17" s="1"/>
  <c r="S17" i="17"/>
  <c r="S21" i="17"/>
  <c r="S23" i="17"/>
  <c r="M79" i="17"/>
  <c r="M55" i="17"/>
  <c r="S19" i="17"/>
  <c r="S29" i="17"/>
  <c r="S15" i="17"/>
  <c r="G61" i="17"/>
  <c r="G59" i="17"/>
  <c r="S13" i="17"/>
  <c r="S9" i="17"/>
  <c r="E26" i="18"/>
  <c r="E25" i="18"/>
  <c r="E23" i="18"/>
  <c r="E21" i="18"/>
  <c r="E20" i="18"/>
  <c r="E19" i="18"/>
  <c r="E18" i="18"/>
  <c r="E17" i="18"/>
  <c r="E15" i="18"/>
  <c r="E14" i="18"/>
  <c r="E13" i="18"/>
  <c r="E12" i="18"/>
  <c r="E10" i="18"/>
  <c r="E9" i="18"/>
  <c r="E8" i="18"/>
  <c r="E7" i="18"/>
  <c r="E6" i="18"/>
  <c r="E5" i="18"/>
  <c r="E4" i="18"/>
  <c r="E3" i="18"/>
  <c r="B25" i="18"/>
  <c r="B3" i="18"/>
  <c r="B4" i="18"/>
  <c r="B5" i="18"/>
  <c r="B6" i="18"/>
  <c r="B7" i="18"/>
  <c r="B8" i="18"/>
  <c r="B9" i="18"/>
  <c r="B10" i="18"/>
  <c r="B11" i="18"/>
  <c r="B12" i="18"/>
  <c r="B13" i="18"/>
  <c r="B14" i="18"/>
  <c r="B15" i="18"/>
  <c r="B16" i="18"/>
  <c r="B17" i="18"/>
  <c r="B18" i="18"/>
  <c r="B19" i="18"/>
  <c r="B20" i="18"/>
  <c r="B21" i="18"/>
  <c r="B22" i="18"/>
  <c r="B23" i="18"/>
  <c r="B24" i="18"/>
  <c r="B26" i="18"/>
  <c r="B2" i="18"/>
  <c r="A2" i="18"/>
  <c r="A4" i="18"/>
  <c r="A26" i="18"/>
  <c r="A25" i="18"/>
  <c r="A24" i="18"/>
  <c r="A23" i="18"/>
  <c r="A22" i="18"/>
  <c r="A21" i="18"/>
  <c r="A20" i="18"/>
  <c r="A19" i="18"/>
  <c r="A18" i="18"/>
  <c r="A17" i="18"/>
  <c r="A16" i="18"/>
  <c r="A15" i="18"/>
  <c r="A14" i="18"/>
  <c r="A13" i="18"/>
  <c r="A12" i="18"/>
  <c r="A11" i="18"/>
  <c r="A10" i="18"/>
  <c r="A9" i="18"/>
  <c r="A8" i="18"/>
  <c r="A7" i="18"/>
  <c r="A6" i="18"/>
  <c r="A5" i="18"/>
  <c r="A3" i="18"/>
  <c r="L14" i="18"/>
  <c r="M14" i="18" s="1"/>
  <c r="L26" i="18"/>
  <c r="M26" i="18" s="1"/>
  <c r="L21" i="18"/>
  <c r="M21" i="18" s="1"/>
  <c r="L6" i="18"/>
  <c r="M6" i="18" s="1"/>
  <c r="N21" i="18"/>
  <c r="H21" i="18" s="1"/>
  <c r="I21" i="18"/>
  <c r="G63" i="17"/>
  <c r="G69" i="17"/>
  <c r="G67" i="17"/>
  <c r="G65" i="17"/>
  <c r="G57" i="17"/>
  <c r="G55" i="17"/>
  <c r="L17" i="18"/>
  <c r="M17" i="18" s="1"/>
  <c r="L23" i="18"/>
  <c r="N23" i="18" s="1"/>
  <c r="L20" i="18"/>
  <c r="N20" i="18" s="1"/>
  <c r="L25" i="18"/>
  <c r="N25" i="18" s="1"/>
  <c r="M20" i="18"/>
  <c r="L19" i="18"/>
  <c r="N19" i="18" s="1"/>
  <c r="L18" i="18"/>
  <c r="N18" i="18" s="1"/>
  <c r="L15" i="18"/>
  <c r="M15" i="18" s="1"/>
  <c r="L13" i="18"/>
  <c r="M13" i="18" s="1"/>
  <c r="L10" i="18"/>
  <c r="M10" i="18" s="1"/>
  <c r="L9" i="18"/>
  <c r="M9" i="18" s="1"/>
  <c r="L8" i="18"/>
  <c r="N8" i="18" s="1"/>
  <c r="L7" i="18"/>
  <c r="N7" i="18" s="1"/>
  <c r="L5" i="18"/>
  <c r="N5" i="18" s="1"/>
  <c r="L4" i="18"/>
  <c r="N4" i="18" s="1"/>
  <c r="L3" i="18"/>
  <c r="N3" i="18" s="1"/>
  <c r="S11" i="17"/>
  <c r="L12" i="18"/>
  <c r="N12" i="18" s="1"/>
  <c r="Q89" i="17" l="1"/>
  <c r="N14" i="18"/>
  <c r="H14" i="18" s="1"/>
  <c r="N26" i="18"/>
  <c r="H26" i="18" s="1"/>
  <c r="M12" i="18"/>
  <c r="I12" i="18" s="1"/>
  <c r="M4" i="18"/>
  <c r="N10" i="18"/>
  <c r="H10" i="18" s="1"/>
  <c r="F26" i="18"/>
  <c r="M25" i="18"/>
  <c r="F25" i="18" s="1"/>
  <c r="M8" i="18"/>
  <c r="I8" i="18" s="1"/>
  <c r="M23" i="18"/>
  <c r="G23" i="18" s="1"/>
  <c r="N17" i="18"/>
  <c r="G26" i="18"/>
  <c r="N13" i="18"/>
  <c r="F13" i="18" s="1"/>
  <c r="M5" i="18"/>
  <c r="H5" i="18" s="1"/>
  <c r="M7" i="18"/>
  <c r="I7" i="18" s="1"/>
  <c r="N6" i="18"/>
  <c r="I6" i="18" s="1"/>
  <c r="G19" i="18"/>
  <c r="G20" i="18"/>
  <c r="F20" i="18"/>
  <c r="I20" i="18"/>
  <c r="H20" i="18"/>
  <c r="H4" i="18"/>
  <c r="G4" i="18"/>
  <c r="I4" i="18"/>
  <c r="F4" i="18"/>
  <c r="M18" i="18"/>
  <c r="H18" i="18" s="1"/>
  <c r="M19" i="18"/>
  <c r="I19" i="18" s="1"/>
  <c r="N15" i="18"/>
  <c r="N9" i="18"/>
  <c r="M3" i="18"/>
  <c r="H3" i="18" s="1"/>
  <c r="F21" i="18"/>
  <c r="G21" i="18"/>
  <c r="I26" i="18"/>
  <c r="F14" i="18" l="1"/>
  <c r="I14" i="18"/>
  <c r="G14" i="18"/>
  <c r="H12" i="18"/>
  <c r="F12" i="18"/>
  <c r="G12" i="18"/>
  <c r="F23" i="18"/>
  <c r="H23" i="18"/>
  <c r="H25" i="18"/>
  <c r="I25" i="18"/>
  <c r="G25" i="18"/>
  <c r="I23" i="18"/>
  <c r="G10" i="18"/>
  <c r="I10" i="18"/>
  <c r="F10" i="18"/>
  <c r="F19" i="18"/>
  <c r="H19" i="18"/>
  <c r="F18" i="18"/>
  <c r="G18" i="18"/>
  <c r="I18" i="18"/>
  <c r="G6" i="18"/>
  <c r="G8" i="18"/>
  <c r="H8" i="18"/>
  <c r="H17" i="18"/>
  <c r="I17" i="18"/>
  <c r="H6" i="18"/>
  <c r="F8" i="18"/>
  <c r="F6" i="18"/>
  <c r="F17" i="18"/>
  <c r="G17" i="18"/>
  <c r="G13" i="18"/>
  <c r="I13" i="18"/>
  <c r="H13" i="18"/>
  <c r="G7" i="18"/>
  <c r="F7" i="18"/>
  <c r="H7" i="18"/>
  <c r="F5" i="18"/>
  <c r="I5" i="18"/>
  <c r="G5" i="18"/>
  <c r="I3" i="18"/>
  <c r="F3" i="18"/>
  <c r="G3" i="18"/>
  <c r="I9" i="18"/>
  <c r="H9" i="18"/>
  <c r="G9" i="18"/>
  <c r="F9" i="18"/>
  <c r="F15" i="18"/>
  <c r="I15" i="18"/>
  <c r="H15" i="18"/>
  <c r="G15"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藤澤　哲子</author>
  </authors>
  <commentList>
    <comment ref="J87" authorId="0" shapeId="0" xr:uid="{65773171-338D-4745-8886-2BAAC57C98A8}">
      <text>
        <r>
          <rPr>
            <sz val="9"/>
            <color rgb="FF000000"/>
            <rFont val="ＭＳ Ｐゴシック"/>
            <family val="2"/>
            <charset val="128"/>
          </rPr>
          <t>曜日時限はなるべく専攻語の実習科目がない時間を希望</t>
        </r>
        <r>
          <rPr>
            <sz val="9"/>
            <color rgb="FF000000"/>
            <rFont val="ＭＳ Ｐゴシック"/>
            <family val="2"/>
            <charset val="128"/>
          </rPr>
          <t xml:space="preserve">
</t>
        </r>
      </text>
    </comment>
  </commentList>
</comments>
</file>

<file path=xl/sharedStrings.xml><?xml version="1.0" encoding="utf-8"?>
<sst xmlns="http://schemas.openxmlformats.org/spreadsheetml/2006/main" count="540" uniqueCount="317">
  <si>
    <t>吹田</t>
    <rPh sb="0" eb="2">
      <t>スイタ</t>
    </rPh>
    <phoneticPr fontId="2"/>
  </si>
  <si>
    <t>秋・冬</t>
    <rPh sb="0" eb="1">
      <t>アキ</t>
    </rPh>
    <rPh sb="2" eb="3">
      <t>フユ</t>
    </rPh>
    <phoneticPr fontId="2"/>
  </si>
  <si>
    <t>春・夏</t>
    <rPh sb="0" eb="1">
      <t>ハル</t>
    </rPh>
    <rPh sb="2" eb="3">
      <t>ナツ</t>
    </rPh>
    <phoneticPr fontId="2"/>
  </si>
  <si>
    <t>有</t>
    <rPh sb="0" eb="1">
      <t>ア</t>
    </rPh>
    <phoneticPr fontId="2"/>
  </si>
  <si>
    <t>無</t>
    <rPh sb="0" eb="1">
      <t>ナシ</t>
    </rPh>
    <phoneticPr fontId="2"/>
  </si>
  <si>
    <t>豊中</t>
    <rPh sb="0" eb="2">
      <t>トヨナカ</t>
    </rPh>
    <phoneticPr fontId="2"/>
  </si>
  <si>
    <t>箕面</t>
    <rPh sb="0" eb="2">
      <t>ミノオ</t>
    </rPh>
    <phoneticPr fontId="2"/>
  </si>
  <si>
    <t>Elbalti Beligh</t>
  </si>
  <si>
    <t>Sachihiko KONDO</t>
  </si>
  <si>
    <t>中野　遼子</t>
    <rPh sb="0" eb="2">
      <t>ナカノ</t>
    </rPh>
    <rPh sb="3" eb="5">
      <t>リョウコ</t>
    </rPh>
    <phoneticPr fontId="2"/>
  </si>
  <si>
    <t>Tuesday</t>
  </si>
  <si>
    <t>Wednesday</t>
  </si>
  <si>
    <t>Mioko YOSHINAGA</t>
  </si>
  <si>
    <t>Koichi NISHIGUCHI</t>
  </si>
  <si>
    <t>Ryoko NAKANO</t>
  </si>
  <si>
    <t>Sachi OKAMOTO</t>
  </si>
  <si>
    <t>Curriculum Code</t>
    <phoneticPr fontId="2"/>
  </si>
  <si>
    <t>Course Title</t>
    <phoneticPr fontId="2"/>
  </si>
  <si>
    <t>Instructor</t>
    <phoneticPr fontId="2"/>
  </si>
  <si>
    <t>Room</t>
    <phoneticPr fontId="2"/>
  </si>
  <si>
    <t>Day</t>
    <phoneticPr fontId="2"/>
  </si>
  <si>
    <t>Friday</t>
    <phoneticPr fontId="2"/>
  </si>
  <si>
    <t>Monday</t>
    <phoneticPr fontId="2"/>
  </si>
  <si>
    <t>Period</t>
    <phoneticPr fontId="2"/>
  </si>
  <si>
    <t>Campus</t>
    <phoneticPr fontId="2"/>
  </si>
  <si>
    <t>Campus</t>
    <phoneticPr fontId="2"/>
  </si>
  <si>
    <t>Room</t>
    <phoneticPr fontId="2"/>
  </si>
  <si>
    <t>Campus</t>
    <phoneticPr fontId="2"/>
  </si>
  <si>
    <t>Room</t>
    <phoneticPr fontId="2"/>
  </si>
  <si>
    <t>Instructor</t>
    <phoneticPr fontId="2"/>
  </si>
  <si>
    <t>Thursday</t>
    <phoneticPr fontId="2"/>
  </si>
  <si>
    <t>Period</t>
    <phoneticPr fontId="2"/>
  </si>
  <si>
    <t>Campus</t>
    <phoneticPr fontId="2"/>
  </si>
  <si>
    <t>Course Title</t>
    <phoneticPr fontId="2"/>
  </si>
  <si>
    <t>Instructor</t>
    <phoneticPr fontId="2"/>
  </si>
  <si>
    <t>Course Title</t>
    <phoneticPr fontId="2"/>
  </si>
  <si>
    <t>Registration</t>
    <phoneticPr fontId="2"/>
  </si>
  <si>
    <t>StudentID</t>
    <phoneticPr fontId="2"/>
  </si>
  <si>
    <t>School</t>
    <phoneticPr fontId="2"/>
  </si>
  <si>
    <t>Family Name</t>
    <phoneticPr fontId="2"/>
  </si>
  <si>
    <t>First Name</t>
    <phoneticPr fontId="2"/>
  </si>
  <si>
    <t>Independent Study</t>
    <phoneticPr fontId="2"/>
  </si>
  <si>
    <t>Name of your supervisor</t>
    <phoneticPr fontId="2"/>
  </si>
  <si>
    <t># of credit</t>
    <phoneticPr fontId="2"/>
  </si>
  <si>
    <t>Summary of your registration</t>
    <phoneticPr fontId="2"/>
  </si>
  <si>
    <t>The number of couses you register</t>
    <phoneticPr fontId="2"/>
  </si>
  <si>
    <t>Total number of credits you register</t>
    <phoneticPr fontId="2"/>
  </si>
  <si>
    <t>You should take other OU course(1 or 0)</t>
    <phoneticPr fontId="2"/>
  </si>
  <si>
    <t>Name</t>
  </si>
  <si>
    <t>Day</t>
  </si>
  <si>
    <t>Period</t>
  </si>
  <si>
    <t>Curriculum Code</t>
  </si>
  <si>
    <t>Course Title</t>
  </si>
  <si>
    <t>Instructor</t>
  </si>
  <si>
    <t>Campus</t>
  </si>
  <si>
    <t>Room</t>
  </si>
  <si>
    <t>Mon</t>
  </si>
  <si>
    <t>Tue</t>
  </si>
  <si>
    <t>Wed</t>
  </si>
  <si>
    <t>Thu</t>
  </si>
  <si>
    <t>Fri</t>
  </si>
  <si>
    <t>Count</t>
    <phoneticPr fontId="2"/>
  </si>
  <si>
    <t>Column</t>
    <phoneticPr fontId="2"/>
  </si>
  <si>
    <t>Check</t>
    <phoneticPr fontId="2"/>
  </si>
  <si>
    <t>難波　康治　</t>
    <phoneticPr fontId="2"/>
  </si>
  <si>
    <t>Suita</t>
  </si>
  <si>
    <t>Toyonaka</t>
  </si>
  <si>
    <t>魚崎　典子</t>
    <rPh sb="0" eb="2">
      <t>ウオサキ</t>
    </rPh>
    <rPh sb="3" eb="5">
      <t>ノリコ</t>
    </rPh>
    <phoneticPr fontId="22"/>
  </si>
  <si>
    <t>Noriko UOSAKI</t>
  </si>
  <si>
    <t>西口　光一　</t>
  </si>
  <si>
    <t>総合日本語JA400-トラック1</t>
  </si>
  <si>
    <t>StudentID</t>
    <phoneticPr fontId="2"/>
  </si>
  <si>
    <t>881115</t>
    <phoneticPr fontId="2"/>
  </si>
  <si>
    <t>Koji NAMBA</t>
    <phoneticPr fontId="2"/>
  </si>
  <si>
    <t>881116</t>
    <phoneticPr fontId="2"/>
  </si>
  <si>
    <t>881117</t>
    <phoneticPr fontId="2"/>
  </si>
  <si>
    <t>Naoko Fukura</t>
    <phoneticPr fontId="2"/>
  </si>
  <si>
    <t>881118</t>
    <phoneticPr fontId="2"/>
  </si>
  <si>
    <t>881120</t>
    <phoneticPr fontId="2"/>
  </si>
  <si>
    <t>881121</t>
    <phoneticPr fontId="2"/>
  </si>
  <si>
    <t>881122</t>
    <phoneticPr fontId="2"/>
  </si>
  <si>
    <t>881123</t>
    <phoneticPr fontId="2"/>
  </si>
  <si>
    <t>881140</t>
    <phoneticPr fontId="2"/>
  </si>
  <si>
    <t>日本語・グローバル理解演習JGU600d</t>
    <phoneticPr fontId="2"/>
  </si>
  <si>
    <t>Seminar in Japanese and Global Understanding JGU600d</t>
    <phoneticPr fontId="2"/>
  </si>
  <si>
    <t>881141</t>
    <phoneticPr fontId="2"/>
  </si>
  <si>
    <t>日本語・グローバル理解演習JGU600e</t>
    <phoneticPr fontId="2"/>
  </si>
  <si>
    <t>Seminar in Japanese and Global Understanding JGU600e</t>
    <phoneticPr fontId="2"/>
  </si>
  <si>
    <t>我が国の保健サービスと医療ケア</t>
  </si>
  <si>
    <t>Health Service and Medical Care in Japan</t>
  </si>
  <si>
    <t>881103</t>
    <phoneticPr fontId="2"/>
  </si>
  <si>
    <t>881135</t>
    <phoneticPr fontId="2"/>
  </si>
  <si>
    <t>異文化コミュニケーションとパフォーマンス</t>
    <rPh sb="0" eb="3">
      <t>イブンカ</t>
    </rPh>
    <phoneticPr fontId="2"/>
  </si>
  <si>
    <t>知覚と認知の心理学</t>
    <rPh sb="0" eb="2">
      <t>チカク</t>
    </rPh>
    <rPh sb="3" eb="5">
      <t>ニンチ</t>
    </rPh>
    <rPh sb="6" eb="9">
      <t>シンリガク</t>
    </rPh>
    <phoneticPr fontId="2"/>
  </si>
  <si>
    <t>881114</t>
    <phoneticPr fontId="2"/>
  </si>
  <si>
    <t>オンライン・リソースを活用したL2学習</t>
  </si>
  <si>
    <t>Second Language Learning with Online Resources</t>
  </si>
  <si>
    <t>881131</t>
    <phoneticPr fontId="2"/>
  </si>
  <si>
    <t>イノベーションの管理と変遷</t>
    <phoneticPr fontId="2"/>
  </si>
  <si>
    <t>Managing Innovation and Change</t>
    <phoneticPr fontId="2"/>
  </si>
  <si>
    <t>881109</t>
    <phoneticPr fontId="2"/>
  </si>
  <si>
    <t>文化人類学入門</t>
    <rPh sb="0" eb="2">
      <t>ブンカ</t>
    </rPh>
    <rPh sb="2" eb="5">
      <t>ジンルイガク</t>
    </rPh>
    <rPh sb="5" eb="7">
      <t>ニュウモン</t>
    </rPh>
    <phoneticPr fontId="2"/>
  </si>
  <si>
    <t xml:space="preserve">Mohacsi Gergely </t>
  </si>
  <si>
    <t>881111</t>
    <phoneticPr fontId="2"/>
  </si>
  <si>
    <t>Japan: Society and Ideology</t>
  </si>
  <si>
    <t>881102</t>
    <phoneticPr fontId="2"/>
  </si>
  <si>
    <t>881119</t>
    <phoneticPr fontId="2"/>
  </si>
  <si>
    <t>881130</t>
    <phoneticPr fontId="2"/>
  </si>
  <si>
    <t>Psychology of Perception and Cognition</t>
    <phoneticPr fontId="2"/>
  </si>
  <si>
    <t>義永　美央子</t>
    <phoneticPr fontId="2"/>
  </si>
  <si>
    <t>881142</t>
    <phoneticPr fontId="2"/>
  </si>
  <si>
    <t>日本語・グローバル理解演習JGU600f</t>
    <phoneticPr fontId="2"/>
  </si>
  <si>
    <t>Seminar in Japanese and Global Understanding JGU600f</t>
    <phoneticPr fontId="2"/>
  </si>
  <si>
    <t>881110</t>
    <phoneticPr fontId="2"/>
  </si>
  <si>
    <t>Osaka in Modern Japanese Literature</t>
    <phoneticPr fontId="2"/>
  </si>
  <si>
    <t>881129</t>
    <phoneticPr fontId="2"/>
  </si>
  <si>
    <t>科学英語入門</t>
    <rPh sb="0" eb="4">
      <t>カガクエイゴ</t>
    </rPh>
    <rPh sb="4" eb="6">
      <t>ニュウモン</t>
    </rPh>
    <phoneticPr fontId="2"/>
  </si>
  <si>
    <t>岡本　紗知</t>
    <rPh sb="0" eb="2">
      <t>オカモト</t>
    </rPh>
    <rPh sb="3" eb="4">
      <t>サ</t>
    </rPh>
    <rPh sb="4" eb="5">
      <t>チ</t>
    </rPh>
    <phoneticPr fontId="2"/>
  </si>
  <si>
    <t>Introduction to Scientific English</t>
  </si>
  <si>
    <t>881259</t>
    <phoneticPr fontId="2"/>
  </si>
  <si>
    <t>多文化共生論</t>
    <phoneticPr fontId="2"/>
  </si>
  <si>
    <t>Viktoriya Kim</t>
  </si>
  <si>
    <t>Seminar in Studies of Multicultural Societies</t>
    <phoneticPr fontId="2"/>
  </si>
  <si>
    <t>CELAS　Ａ３１５</t>
    <phoneticPr fontId="2"/>
  </si>
  <si>
    <t>CELAS　Ｃ２０６</t>
    <phoneticPr fontId="2"/>
  </si>
  <si>
    <t>CELAS Student Commons Room B</t>
    <phoneticPr fontId="2"/>
  </si>
  <si>
    <t>Minoh</t>
    <phoneticPr fontId="2"/>
  </si>
  <si>
    <t>Seminar Course for Intercultural Understanding</t>
    <phoneticPr fontId="2"/>
  </si>
  <si>
    <t>2021(令和３)年度 春・夏 学期   国際交流科目授業時間割
International Exchange Subjects Timetable for the Spring/Summer Semester, 2021</t>
    <phoneticPr fontId="2"/>
  </si>
  <si>
    <t>ジェンダー論</t>
    <rPh sb="5" eb="6">
      <t>ロン</t>
    </rPh>
    <phoneticPr fontId="2"/>
  </si>
  <si>
    <t>Paola Cavaliere</t>
    <phoneticPr fontId="2"/>
  </si>
  <si>
    <t>ｽﾁｭｰﾃﾞﾝﾄｺﾓﾝｽﾞ／ｾﾐﾅｰ室B</t>
  </si>
  <si>
    <t>Gender Studies</t>
    <phoneticPr fontId="2"/>
  </si>
  <si>
    <t>CELAS Student Commons Room B</t>
  </si>
  <si>
    <t>人間科学特殊講義Ⅳ (シティズンシップと多文化共生)</t>
    <rPh sb="0" eb="2">
      <t>ニンゲン</t>
    </rPh>
    <rPh sb="2" eb="4">
      <t>カガク</t>
    </rPh>
    <rPh sb="4" eb="6">
      <t>トクシュ</t>
    </rPh>
    <rPh sb="6" eb="8">
      <t>コウギ</t>
    </rPh>
    <rPh sb="20" eb="23">
      <t>タブンカ</t>
    </rPh>
    <rPh sb="23" eb="25">
      <t>キョウセイ</t>
    </rPh>
    <phoneticPr fontId="2"/>
  </si>
  <si>
    <t>北山　夕華</t>
    <phoneticPr fontId="2"/>
  </si>
  <si>
    <t>人間科学部／本館１２講義室</t>
    <rPh sb="0" eb="2">
      <t>ニンゲン</t>
    </rPh>
    <rPh sb="2" eb="4">
      <t>カガク</t>
    </rPh>
    <rPh sb="4" eb="5">
      <t>ブ</t>
    </rPh>
    <phoneticPr fontId="2"/>
  </si>
  <si>
    <t>Special Topic in Human SciencesⅣ (Identity, Nationality and Citizenship)</t>
    <phoneticPr fontId="2"/>
  </si>
  <si>
    <t>Yuka Kintayama</t>
    <phoneticPr fontId="2"/>
  </si>
  <si>
    <t>School of Human Sciences, Room 12</t>
  </si>
  <si>
    <t>磯　博康</t>
    <rPh sb="0" eb="1">
      <t>イソ</t>
    </rPh>
    <rPh sb="2" eb="4">
      <t>ヒロヤス</t>
    </rPh>
    <phoneticPr fontId="2"/>
  </si>
  <si>
    <t>★オンライン</t>
    <phoneticPr fontId="2"/>
  </si>
  <si>
    <t>Hiroyasu ISO</t>
    <phoneticPr fontId="2"/>
  </si>
  <si>
    <t>★Online</t>
  </si>
  <si>
    <t>情報通信技術：ICT</t>
    <rPh sb="0" eb="2">
      <t>ジョウホウ</t>
    </rPh>
    <rPh sb="2" eb="4">
      <t>ツウシン</t>
    </rPh>
    <rPh sb="4" eb="6">
      <t>ギジュツ</t>
    </rPh>
    <phoneticPr fontId="2"/>
  </si>
  <si>
    <t>井上　恭</t>
    <rPh sb="0" eb="2">
      <t>イノウエ</t>
    </rPh>
    <rPh sb="3" eb="4">
      <t>キョウ</t>
    </rPh>
    <phoneticPr fontId="2"/>
  </si>
  <si>
    <r>
      <rPr>
        <b/>
        <sz val="9"/>
        <rFont val="ＭＳ Ｐゴシック"/>
        <family val="3"/>
        <charset val="128"/>
      </rPr>
      <t>★オンライン</t>
    </r>
    <r>
      <rPr>
        <sz val="6"/>
        <rFont val="ＭＳ Ｐゴシック"/>
        <family val="3"/>
        <charset val="128"/>
      </rPr>
      <t>（※5/17＆5/24：工学部/E1-217）</t>
    </r>
    <rPh sb="18" eb="21">
      <t>コウガクブ</t>
    </rPh>
    <phoneticPr fontId="2"/>
  </si>
  <si>
    <t>Information and Communcation Technology</t>
  </si>
  <si>
    <t>Kyo INOUE</t>
  </si>
  <si>
    <r>
      <rPr>
        <b/>
        <sz val="9"/>
        <rFont val="ＭＳ Ｐゴシック"/>
        <family val="3"/>
        <charset val="128"/>
      </rPr>
      <t>★Online</t>
    </r>
    <r>
      <rPr>
        <sz val="6"/>
        <rFont val="ＭＳ Ｐゴシック"/>
        <family val="3"/>
        <charset val="128"/>
      </rPr>
      <t>（※5/17＆5/24：School of Engineering/E1-217）</t>
    </r>
    <phoneticPr fontId="2"/>
  </si>
  <si>
    <t>総合日本語JA100-トラック1　</t>
  </si>
  <si>
    <t>全教　共Ｂ３０６</t>
    <phoneticPr fontId="2"/>
  </si>
  <si>
    <t>Japanese JA100 - Track 1　　(Tue1,  Wed1,  Thu1)</t>
  </si>
  <si>
    <t>CELAS　Ｂ３０６</t>
    <phoneticPr fontId="2"/>
  </si>
  <si>
    <t xml:space="preserve">総合日本語JA100-トラック2 </t>
  </si>
  <si>
    <t>Japanese JA100 - Track 2  　　(Tue1,  Wed1,  Thu1)</t>
  </si>
  <si>
    <t xml:space="preserve">総合日本語JA200-トラック1  </t>
  </si>
  <si>
    <t>福良　直子</t>
  </si>
  <si>
    <t>全教　共Ｃ２０５</t>
    <phoneticPr fontId="2"/>
  </si>
  <si>
    <t>Japanese JA200 - Track 1  　　(Tue1,  Wed1,  Thu1)</t>
  </si>
  <si>
    <t>CELAS　Ｃ２０５</t>
    <phoneticPr fontId="2"/>
  </si>
  <si>
    <t xml:space="preserve">総合日本語JA200-トラック2  </t>
  </si>
  <si>
    <t>Japanese JA200 - Track 2  　　(Tue1,  Wed1,  Thu1)</t>
  </si>
  <si>
    <t>CELAS　Ｃ２０５</t>
  </si>
  <si>
    <t xml:space="preserve">総合日本語JA300-トラック1 </t>
  </si>
  <si>
    <t>住吉　秀紀</t>
    <rPh sb="0" eb="2">
      <t>ヒデキ</t>
    </rPh>
    <phoneticPr fontId="2"/>
  </si>
  <si>
    <t>全教　共Ａ３０５</t>
    <phoneticPr fontId="2"/>
  </si>
  <si>
    <t>Japanese JA300 - Track 1  　　(Tue1,  Wed1,  Thu1)</t>
  </si>
  <si>
    <t>Hideki SUMIYOSHI</t>
  </si>
  <si>
    <t>CELAS　Ａ３０５</t>
    <phoneticPr fontId="2"/>
  </si>
  <si>
    <t xml:space="preserve">総合日本語JA300-トラック2  </t>
  </si>
  <si>
    <t>岡崎　洋三</t>
  </si>
  <si>
    <t>全教　共Ａ３１５</t>
    <phoneticPr fontId="2"/>
  </si>
  <si>
    <t>Japanese JA300 - Track 2  　　(Tue1,  Wed1,  Thu1)</t>
  </si>
  <si>
    <t xml:space="preserve">Yozo OKAZAKI </t>
  </si>
  <si>
    <t xml:space="preserve">菅　摂子 </t>
    <rPh sb="0" eb="1">
      <t>カン</t>
    </rPh>
    <phoneticPr fontId="2"/>
  </si>
  <si>
    <t>全教　共Ｃ４０３</t>
    <phoneticPr fontId="2"/>
  </si>
  <si>
    <t>Japanese JA400 - Track 1  　　(Tue1,  Wed1,  Thu1)</t>
  </si>
  <si>
    <t xml:space="preserve">Setsuko KAN </t>
  </si>
  <si>
    <t>CELAS　Ｃ４０３</t>
    <phoneticPr fontId="2"/>
  </si>
  <si>
    <t xml:space="preserve">総合日本語JA400-トラック2  </t>
  </si>
  <si>
    <t xml:space="preserve">矢部　正人 </t>
    <rPh sb="0" eb="2">
      <t>マサト</t>
    </rPh>
    <phoneticPr fontId="2"/>
  </si>
  <si>
    <t>全教　共Ｃ１０４</t>
    <phoneticPr fontId="2"/>
  </si>
  <si>
    <t>Japanese JA400 - Track 2  　　(Tue1,  Wed1,  Thu1)</t>
  </si>
  <si>
    <t>Masato Yabe</t>
  </si>
  <si>
    <t>CELAS　Ｃ１０４</t>
    <phoneticPr fontId="2"/>
  </si>
  <si>
    <t>881147</t>
    <phoneticPr fontId="2"/>
  </si>
  <si>
    <t>日本語・グローバル理解演習JGU500d</t>
    <phoneticPr fontId="2"/>
  </si>
  <si>
    <t>藤澤　好恵</t>
    <rPh sb="0" eb="3">
      <t>ヒジョウキンミテイ</t>
    </rPh>
    <phoneticPr fontId="2"/>
  </si>
  <si>
    <t>全教　共Ｃ１０７</t>
    <phoneticPr fontId="2"/>
  </si>
  <si>
    <t>Seminar in Japanese and Global Understanding JGU500ｄ</t>
    <phoneticPr fontId="2"/>
  </si>
  <si>
    <t>Yoshie FUJISAWA</t>
  </si>
  <si>
    <t>CELAS　Ｃ１０７</t>
    <phoneticPr fontId="2"/>
  </si>
  <si>
    <t>大谷　晋也</t>
    <rPh sb="0" eb="2">
      <t>オオタニ</t>
    </rPh>
    <rPh sb="3" eb="5">
      <t>シンヤ</t>
    </rPh>
    <phoneticPr fontId="2"/>
  </si>
  <si>
    <t>全教　共Ｃ２０３</t>
    <phoneticPr fontId="2"/>
  </si>
  <si>
    <t>Shinya OTANI</t>
  </si>
  <si>
    <t>CELAS　Ｃ２０３　</t>
    <phoneticPr fontId="2"/>
  </si>
  <si>
    <t>身の回りの高分子</t>
    <phoneticPr fontId="2"/>
  </si>
  <si>
    <t>山口　浩靖、他</t>
    <rPh sb="0" eb="2">
      <t>ヤマグチ</t>
    </rPh>
    <rPh sb="3" eb="5">
      <t>ヒロヤス</t>
    </rPh>
    <rPh sb="6" eb="7">
      <t>ホカ</t>
    </rPh>
    <phoneticPr fontId="2"/>
  </si>
  <si>
    <t>Polymers in Daily Life and Science</t>
    <phoneticPr fontId="2"/>
  </si>
  <si>
    <t>Hiroyasu YAMAGUCHI</t>
    <phoneticPr fontId="2"/>
  </si>
  <si>
    <t>日本法の諸問題</t>
    <rPh sb="0" eb="2">
      <t>ニホン</t>
    </rPh>
    <phoneticPr fontId="2"/>
  </si>
  <si>
    <t>ｴﾙﾊﾞﾙﾃｨ ﾍﾞﾘｰｸﾞ</t>
  </si>
  <si>
    <t>Topics in Japanese Law</t>
    <phoneticPr fontId="2"/>
  </si>
  <si>
    <t>Toyonaka</t>
    <phoneticPr fontId="2"/>
  </si>
  <si>
    <t>近藤　佐知彦／三森　八重子</t>
    <rPh sb="0" eb="2">
      <t>コンドウ</t>
    </rPh>
    <rPh sb="3" eb="5">
      <t>サチ</t>
    </rPh>
    <rPh sb="5" eb="6">
      <t>ヒコ</t>
    </rPh>
    <rPh sb="7" eb="9">
      <t>ミツモリ</t>
    </rPh>
    <rPh sb="10" eb="13">
      <t>ヤエコ</t>
    </rPh>
    <phoneticPr fontId="2"/>
  </si>
  <si>
    <t>ｻｲﾊﾞｰﾒﾃﾞｨｱｾﾝﾀｰ／CALL第4教室</t>
    <rPh sb="21" eb="23">
      <t>キョウシツ</t>
    </rPh>
    <phoneticPr fontId="2"/>
  </si>
  <si>
    <t>Sachohiko KONDO / Yaeko MITSUMORI</t>
    <phoneticPr fontId="2"/>
  </si>
  <si>
    <t>Cybermedia Center/CALL
Room４</t>
    <phoneticPr fontId="2"/>
  </si>
  <si>
    <t>ｻｲﾊﾞｰﾒﾃﾞｨｱｾﾝﾀｰ／CALL第１－Ｂ教室</t>
    <phoneticPr fontId="2"/>
  </si>
  <si>
    <t>Cybermedia Center, CALL Room No. 1－B</t>
    <phoneticPr fontId="2"/>
  </si>
  <si>
    <t>モハーチ　ゲルゲイ</t>
  </si>
  <si>
    <t>ｽﾁｭｰﾃﾞﾝﾄｺﾓﾝｽﾞ／ｾﾐﾅｰ室B</t>
    <phoneticPr fontId="2"/>
  </si>
  <si>
    <t>Introduction to  Cultural Anthropology</t>
    <phoneticPr fontId="2"/>
  </si>
  <si>
    <t>岡田　亜矢子　</t>
    <rPh sb="0" eb="2">
      <t>アヤコ</t>
    </rPh>
    <phoneticPr fontId="2"/>
  </si>
  <si>
    <t>全教　共Ａ３１５</t>
    <rPh sb="0" eb="2">
      <t>ゼンキョウ</t>
    </rPh>
    <phoneticPr fontId="2"/>
  </si>
  <si>
    <t>Ayako OKADA</t>
  </si>
  <si>
    <t>花井　理香　</t>
    <rPh sb="0" eb="2">
      <t>リカ</t>
    </rPh>
    <phoneticPr fontId="2"/>
  </si>
  <si>
    <t>全教　共Ｃ３０４</t>
    <rPh sb="0" eb="2">
      <t>ゼンキョウ</t>
    </rPh>
    <phoneticPr fontId="2"/>
  </si>
  <si>
    <t>Rika HANAI</t>
  </si>
  <si>
    <t>CELAS　Ｃ３０４</t>
    <phoneticPr fontId="2"/>
  </si>
  <si>
    <t xml:space="preserve">上仲　淳 </t>
    <rPh sb="0" eb="1">
      <t>ジュンナオコ</t>
    </rPh>
    <phoneticPr fontId="2"/>
  </si>
  <si>
    <t>全教　共Ｂ３０６</t>
    <rPh sb="0" eb="2">
      <t>ゼンキョウ</t>
    </rPh>
    <phoneticPr fontId="2"/>
  </si>
  <si>
    <t>Jun UENAKA</t>
  </si>
  <si>
    <t xml:space="preserve">半田　佳奈子 </t>
    <rPh sb="0" eb="3">
      <t>カナコナオコ</t>
    </rPh>
    <phoneticPr fontId="2"/>
  </si>
  <si>
    <t>全教　共Ｂ３１６</t>
    <rPh sb="0" eb="2">
      <t>ゼンキョウ</t>
    </rPh>
    <phoneticPr fontId="2"/>
  </si>
  <si>
    <t>Kanako HANDA</t>
  </si>
  <si>
    <t>CELAS　Ｂ３１６</t>
    <phoneticPr fontId="2"/>
  </si>
  <si>
    <t>全教　共Ａ１１４</t>
    <rPh sb="0" eb="2">
      <t>ゼンキョウ</t>
    </rPh>
    <phoneticPr fontId="2"/>
  </si>
  <si>
    <t>CELAS　Ａ１１４</t>
    <phoneticPr fontId="2"/>
  </si>
  <si>
    <t>CELAS　Ａ１１４</t>
  </si>
  <si>
    <t>全教　共Ｃ２０４</t>
    <rPh sb="0" eb="2">
      <t>ゼンキョウ</t>
    </rPh>
    <phoneticPr fontId="2"/>
  </si>
  <si>
    <t>Yozo OKAZAKI</t>
  </si>
  <si>
    <t>CELAS　Ｃ２０４</t>
    <phoneticPr fontId="2"/>
  </si>
  <si>
    <t>小原　俊彦</t>
  </si>
  <si>
    <t>全教　共Ｃ４０５</t>
    <rPh sb="0" eb="2">
      <t>ゼンキョウ</t>
    </rPh>
    <phoneticPr fontId="2"/>
  </si>
  <si>
    <t>Toshihiko OBARA</t>
  </si>
  <si>
    <t>CELAS　Ｃ４０５</t>
    <phoneticPr fontId="2"/>
  </si>
  <si>
    <t>881148</t>
    <phoneticPr fontId="2"/>
  </si>
  <si>
    <t>日本語・グローバル理解演習JGU500e</t>
    <phoneticPr fontId="2"/>
  </si>
  <si>
    <t>全教　共Ａ３０５</t>
    <rPh sb="0" eb="2">
      <t>ゼンキョウ</t>
    </rPh>
    <phoneticPr fontId="2"/>
  </si>
  <si>
    <t>Seminar in Japanese and Global Understanding JGU500e</t>
    <phoneticPr fontId="2"/>
  </si>
  <si>
    <t>矢部　正人</t>
    <rPh sb="0" eb="3">
      <t>ヒジョウキンミテイ</t>
    </rPh>
    <phoneticPr fontId="2"/>
  </si>
  <si>
    <t>全教　共Ｃ１０７</t>
    <rPh sb="0" eb="2">
      <t>ゼンキョウ</t>
    </rPh>
    <phoneticPr fontId="2"/>
  </si>
  <si>
    <t>Masato YABE</t>
  </si>
  <si>
    <t>芸術を通して脳科学を学ぼう</t>
    <rPh sb="0" eb="2">
      <t>ゲイジュツ</t>
    </rPh>
    <rPh sb="3" eb="4">
      <t>トオシテ</t>
    </rPh>
    <rPh sb="6" eb="9">
      <t>ノウカガク</t>
    </rPh>
    <rPh sb="10" eb="11">
      <t>マナボウ</t>
    </rPh>
    <phoneticPr fontId="2"/>
  </si>
  <si>
    <t>好井　千代</t>
    <rPh sb="0" eb="1">
      <t>スキ</t>
    </rPh>
    <rPh sb="3" eb="5">
      <t>チヨ</t>
    </rPh>
    <phoneticPr fontId="2"/>
  </si>
  <si>
    <t>Art and Neuroscience</t>
    <phoneticPr fontId="2"/>
  </si>
  <si>
    <t>Chiyo YOSHII</t>
  </si>
  <si>
    <t>★Online</t>
    <phoneticPr fontId="2"/>
  </si>
  <si>
    <t>比較法の諸問題</t>
    <phoneticPr fontId="2"/>
  </si>
  <si>
    <t>Topics in Comparative Law　</t>
    <phoneticPr fontId="2"/>
  </si>
  <si>
    <t>Suita</t>
    <phoneticPr fontId="2"/>
  </si>
  <si>
    <t>森川　和則</t>
    <phoneticPr fontId="2"/>
  </si>
  <si>
    <t>人間科学部／本館３２講義室</t>
    <rPh sb="0" eb="2">
      <t>ニンゲン</t>
    </rPh>
    <rPh sb="2" eb="4">
      <t>カガク</t>
    </rPh>
    <rPh sb="4" eb="5">
      <t>ブ</t>
    </rPh>
    <phoneticPr fontId="2"/>
  </si>
  <si>
    <t xml:space="preserve">Kazunori Morikawa </t>
    <phoneticPr fontId="2"/>
  </si>
  <si>
    <t>School of Human Sciences, Room 32</t>
    <phoneticPr fontId="2"/>
  </si>
  <si>
    <t>ｻｲﾊﾞｰﾒﾃﾞｨｱｾﾝﾀｰ／CALL第４教室</t>
    <phoneticPr fontId="2"/>
  </si>
  <si>
    <t>Intercultural Communication and Performance</t>
    <phoneticPr fontId="2"/>
  </si>
  <si>
    <t>Cybermedia Center/CALL Room４</t>
    <phoneticPr fontId="2"/>
  </si>
  <si>
    <t>日本の社会とイデオロギー</t>
  </si>
  <si>
    <t>近藤　佐知彦</t>
  </si>
  <si>
    <t>全教　共Ｃ２０６</t>
    <rPh sb="0" eb="2">
      <t>ゼンキョウ</t>
    </rPh>
    <phoneticPr fontId="2"/>
  </si>
  <si>
    <t>経済開発論</t>
    <rPh sb="0" eb="2">
      <t>ケイザイ</t>
    </rPh>
    <rPh sb="2" eb="4">
      <t>カイハツ</t>
    </rPh>
    <rPh sb="4" eb="5">
      <t>ロン</t>
    </rPh>
    <phoneticPr fontId="2"/>
  </si>
  <si>
    <t>大槻　恒裕</t>
    <rPh sb="0" eb="2">
      <t>オオツキ</t>
    </rPh>
    <rPh sb="3" eb="4">
      <t>ツネ</t>
    </rPh>
    <rPh sb="4" eb="5">
      <t>ユウ</t>
    </rPh>
    <phoneticPr fontId="2"/>
  </si>
  <si>
    <t>Economic Development</t>
    <phoneticPr fontId="2"/>
  </si>
  <si>
    <t>Tsunehiro OTSUKI</t>
    <phoneticPr fontId="2"/>
  </si>
  <si>
    <t>蔭山　拓 　</t>
    <rPh sb="0" eb="2">
      <t>ヒロシ</t>
    </rPh>
    <phoneticPr fontId="2"/>
  </si>
  <si>
    <t>Hiroshi KAGEYAMA</t>
  </si>
  <si>
    <t>基礎工学部／B１０４講義室</t>
    <rPh sb="0" eb="2">
      <t>キソ</t>
    </rPh>
    <phoneticPr fontId="1"/>
  </si>
  <si>
    <t>School of Engineering Science/Room B104</t>
    <phoneticPr fontId="2"/>
  </si>
  <si>
    <t>文学部　文法経本館4階／464講義室</t>
    <phoneticPr fontId="2"/>
  </si>
  <si>
    <t>School of Letters／Main Bld. (Let.Law.Econ.)Room 464</t>
    <phoneticPr fontId="2"/>
  </si>
  <si>
    <t>上田　安希子</t>
    <rPh sb="0" eb="2">
      <t>ウエダ</t>
    </rPh>
    <phoneticPr fontId="2"/>
  </si>
  <si>
    <t>全教　共Ａ１０１</t>
    <rPh sb="0" eb="2">
      <t>ゼンキョウ</t>
    </rPh>
    <phoneticPr fontId="2"/>
  </si>
  <si>
    <t>Akiko UEDA</t>
  </si>
  <si>
    <t>CELAS　Ａ１０１</t>
    <phoneticPr fontId="2"/>
  </si>
  <si>
    <t>全教　共Ａ１０３</t>
    <rPh sb="0" eb="2">
      <t>ゼンキョウ</t>
    </rPh>
    <phoneticPr fontId="2"/>
  </si>
  <si>
    <t>CELAS　Ａ１０３</t>
    <phoneticPr fontId="2"/>
  </si>
  <si>
    <t>全教　共Ａ００２</t>
    <rPh sb="0" eb="2">
      <t>ゼンキョウ</t>
    </rPh>
    <phoneticPr fontId="2"/>
  </si>
  <si>
    <t>CELAS　Ａ００２</t>
    <phoneticPr fontId="2"/>
  </si>
  <si>
    <t>881149</t>
    <phoneticPr fontId="2"/>
  </si>
  <si>
    <t>日本語・グローバル理解演習JGU500f</t>
  </si>
  <si>
    <t>韓　　喜善</t>
  </si>
  <si>
    <t>基礎工学部／B２０１講義室</t>
    <rPh sb="0" eb="2">
      <t>キソ</t>
    </rPh>
    <phoneticPr fontId="1"/>
  </si>
  <si>
    <t>Seminar in Japanese and Global Understanding JGU500f</t>
    <phoneticPr fontId="2"/>
  </si>
  <si>
    <t>Heesun HAN</t>
  </si>
  <si>
    <t>School of Engineering Science／Room B201</t>
    <phoneticPr fontId="2"/>
  </si>
  <si>
    <t>伊藤　創</t>
  </si>
  <si>
    <t>文学部　芸術研究棟／芸１講義室</t>
    <phoneticPr fontId="2"/>
  </si>
  <si>
    <t>Hajime ITO</t>
  </si>
  <si>
    <t>School of Letters／Arts Studies Room 1</t>
    <phoneticPr fontId="2"/>
  </si>
  <si>
    <t>UC Frontier Science Ⅰ</t>
  </si>
  <si>
    <t>ｼﾞｮﾝ　ﾊﾝﾌﾟﾄﾝ　ｲﾉ</t>
  </si>
  <si>
    <t>【4月～8月の毎月第1週目（木2・金1・金2）】</t>
    <rPh sb="7" eb="9">
      <t>マイツキ</t>
    </rPh>
    <rPh sb="14" eb="15">
      <t>モク</t>
    </rPh>
    <rPh sb="17" eb="18">
      <t>キン</t>
    </rPh>
    <rPh sb="20" eb="21">
      <t>キン</t>
    </rPh>
    <phoneticPr fontId="2"/>
  </si>
  <si>
    <t>John Hampton INO</t>
  </si>
  <si>
    <t>Toyonaka</t>
    <phoneticPr fontId="2"/>
  </si>
  <si>
    <t>近代日本文学における大阪</t>
    <phoneticPr fontId="2"/>
  </si>
  <si>
    <t>村上スミス・アンドリュー</t>
    <phoneticPr fontId="2"/>
  </si>
  <si>
    <t>Andrew MURAKAMI-SMITH</t>
    <phoneticPr fontId="2"/>
  </si>
  <si>
    <t>UC Frontier Science Ⅰ</t>
    <phoneticPr fontId="2"/>
  </si>
  <si>
    <t>ビクトリヤ　キム</t>
  </si>
  <si>
    <t>人間科学部／本館３１講義室</t>
    <rPh sb="0" eb="2">
      <t>ニンゲン</t>
    </rPh>
    <rPh sb="2" eb="4">
      <t>カガク</t>
    </rPh>
    <rPh sb="4" eb="5">
      <t>ブ</t>
    </rPh>
    <phoneticPr fontId="2"/>
  </si>
  <si>
    <t>School of Human Sciences, Room 31</t>
    <phoneticPr fontId="2"/>
  </si>
  <si>
    <t>異文化理解演習</t>
    <phoneticPr fontId="2"/>
  </si>
  <si>
    <t>筒井　佐代／波多野　吉徳</t>
    <phoneticPr fontId="2"/>
  </si>
  <si>
    <t>外国語学部／５０２講義室</t>
    <rPh sb="0" eb="3">
      <t>ガイコクゴ</t>
    </rPh>
    <rPh sb="3" eb="5">
      <t>ガクブ</t>
    </rPh>
    <rPh sb="9" eb="12">
      <t>コウギシツ</t>
    </rPh>
    <phoneticPr fontId="3"/>
  </si>
  <si>
    <t>TSUTSUI Sayo／HATANO Yoshinori</t>
    <phoneticPr fontId="2"/>
  </si>
  <si>
    <t>Minoh Campus：School of Foreign Studies/502Classroom</t>
    <phoneticPr fontId="2"/>
  </si>
  <si>
    <t>-</t>
  </si>
  <si>
    <t>Credit</t>
    <phoneticPr fontId="2"/>
  </si>
  <si>
    <t>理学部／E棟　E３０４</t>
    <phoneticPr fontId="2"/>
  </si>
  <si>
    <t>School of Science／E３０４</t>
    <phoneticPr fontId="2"/>
  </si>
  <si>
    <t>881288</t>
    <phoneticPr fontId="2"/>
  </si>
  <si>
    <t>Internship Course</t>
    <phoneticPr fontId="2"/>
  </si>
  <si>
    <t>881106</t>
    <phoneticPr fontId="2"/>
  </si>
  <si>
    <t>訂正版</t>
    <rPh sb="0" eb="3">
      <t>テイセイバン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</si>
</sst>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4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14"/>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b/>
      <sz val="18"/>
      <name val="ＭＳ Ｐゴシック"/>
      <family val="3"/>
      <charset val="128"/>
    </font>
    <font>
      <b/>
      <sz val="18"/>
      <name val="Arial Rounded MT Bold"/>
      <family val="2"/>
    </font>
    <font>
      <strike/>
      <sz val="9"/>
      <name val="ＭＳ Ｐゴシック"/>
      <family val="3"/>
      <charset val="128"/>
    </font>
    <font>
      <sz val="16"/>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u/>
      <sz val="11"/>
      <color indexed="12"/>
      <name val="ＭＳ Ｐゴシック"/>
      <family val="3"/>
      <charset val="128"/>
    </font>
    <font>
      <sz val="9"/>
      <color rgb="FFFF0000"/>
      <name val="ＭＳ Ｐゴシック"/>
      <family val="3"/>
      <charset val="128"/>
    </font>
    <font>
      <sz val="9"/>
      <name val="MS UI Gothic"/>
      <family val="3"/>
      <charset val="128"/>
    </font>
    <font>
      <b/>
      <sz val="9"/>
      <name val="ＭＳ Ｐゴシック"/>
      <family val="3"/>
      <charset val="128"/>
    </font>
    <font>
      <sz val="9"/>
      <color theme="1"/>
      <name val="ＭＳ Ｐゴシック"/>
      <family val="3"/>
      <charset val="128"/>
    </font>
    <font>
      <sz val="9"/>
      <color rgb="FF0070C0"/>
      <name val="ＭＳ Ｐゴシック"/>
      <family val="3"/>
      <charset val="128"/>
    </font>
    <font>
      <sz val="9"/>
      <color rgb="FF00B050"/>
      <name val="ＭＳ Ｐゴシック"/>
      <family val="3"/>
      <charset val="128"/>
    </font>
    <font>
      <sz val="8"/>
      <name val="ＭＳ Ｐゴシック"/>
      <family val="2"/>
      <charset val="128"/>
    </font>
    <font>
      <b/>
      <sz val="9"/>
      <color rgb="FF00B050"/>
      <name val="ＭＳ Ｐゴシック"/>
      <family val="3"/>
      <charset val="128"/>
    </font>
    <font>
      <sz val="9"/>
      <color rgb="FFFF0000"/>
      <name val="MS UI Gothic"/>
      <family val="3"/>
      <charset val="128"/>
    </font>
    <font>
      <sz val="9"/>
      <name val="ＭＳ Ｐゴシック"/>
      <family val="2"/>
      <charset val="128"/>
    </font>
    <font>
      <sz val="9"/>
      <color rgb="FF000000"/>
      <name val="ＭＳ Ｐゴシック"/>
      <family val="2"/>
      <charset val="128"/>
    </font>
    <font>
      <sz val="18"/>
      <name val="ＭＳ Ｐゴシック"/>
      <family val="3"/>
      <charset val="128"/>
    </font>
  </fonts>
  <fills count="27">
    <fill>
      <patternFill patternType="none"/>
    </fill>
    <fill>
      <patternFill patternType="gray125"/>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27"/>
      </patternFill>
    </fill>
    <fill>
      <patternFill patternType="solid">
        <fgColor indexed="44"/>
      </patternFill>
    </fill>
    <fill>
      <patternFill patternType="solid">
        <fgColor indexed="22"/>
      </patternFill>
    </fill>
    <fill>
      <patternFill patternType="solid">
        <fgColor indexed="29"/>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theme="5" tint="0.79998168889431442"/>
        <bgColor indexed="64"/>
      </patternFill>
    </fill>
    <fill>
      <patternFill patternType="solid">
        <fgColor indexed="9"/>
        <bgColor indexed="64"/>
      </patternFill>
    </fill>
    <fill>
      <patternFill patternType="solid">
        <fgColor theme="9"/>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CCCCFF"/>
        <bgColor indexed="64"/>
      </patternFill>
    </fill>
    <fill>
      <patternFill patternType="solid">
        <fgColor rgb="FF7030A0"/>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top/>
      <bottom style="thin">
        <color auto="1"/>
      </bottom>
      <diagonal/>
    </border>
    <border>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auto="1"/>
      </left>
      <right/>
      <top style="thin">
        <color auto="1"/>
      </top>
      <bottom/>
      <diagonal/>
    </border>
    <border>
      <left/>
      <right/>
      <top/>
      <bottom style="medium">
        <color indexed="64"/>
      </bottom>
      <diagonal/>
    </border>
    <border>
      <left/>
      <right style="thin">
        <color auto="1"/>
      </right>
      <top style="medium">
        <color auto="1"/>
      </top>
      <bottom style="medium">
        <color auto="1"/>
      </bottom>
      <diagonal/>
    </border>
    <border>
      <left/>
      <right/>
      <top style="medium">
        <color auto="1"/>
      </top>
      <bottom/>
      <diagonal/>
    </border>
    <border>
      <left style="thin">
        <color indexed="64"/>
      </left>
      <right/>
      <top/>
      <bottom style="medium">
        <color indexed="64"/>
      </bottom>
      <diagonal/>
    </border>
    <border>
      <left style="thin">
        <color auto="1"/>
      </left>
      <right/>
      <top style="medium">
        <color auto="1"/>
      </top>
      <bottom/>
      <diagonal/>
    </border>
    <border>
      <left style="medium">
        <color auto="1"/>
      </left>
      <right style="medium">
        <color indexed="64"/>
      </right>
      <top style="thin">
        <color auto="1"/>
      </top>
      <bottom/>
      <diagonal/>
    </border>
    <border>
      <left style="medium">
        <color auto="1"/>
      </left>
      <right style="medium">
        <color auto="1"/>
      </right>
      <top/>
      <bottom style="thin">
        <color auto="1"/>
      </bottom>
      <diagonal/>
    </border>
    <border>
      <left/>
      <right style="thin">
        <color auto="1"/>
      </right>
      <top/>
      <bottom style="thin">
        <color auto="1"/>
      </bottom>
      <diagonal/>
    </border>
    <border>
      <left/>
      <right style="thin">
        <color indexed="64"/>
      </right>
      <top/>
      <bottom/>
      <diagonal/>
    </border>
    <border>
      <left/>
      <right style="thin">
        <color auto="1"/>
      </right>
      <top style="medium">
        <color auto="1"/>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thin">
        <color theme="0"/>
      </left>
      <right style="thin">
        <color theme="0"/>
      </right>
      <top style="thin">
        <color theme="0"/>
      </top>
      <bottom style="thin">
        <color theme="0"/>
      </bottom>
      <diagonal/>
    </border>
    <border>
      <left/>
      <right/>
      <top/>
      <bottom style="thin">
        <color indexed="64"/>
      </bottom>
      <diagonal/>
    </border>
    <border>
      <left/>
      <right style="medium">
        <color indexed="64"/>
      </right>
      <top style="medium">
        <color indexed="64"/>
      </top>
      <bottom/>
      <diagonal/>
    </border>
    <border>
      <left style="medium">
        <color auto="1"/>
      </left>
      <right/>
      <top/>
      <bottom style="thin">
        <color indexed="64"/>
      </bottom>
      <diagonal/>
    </border>
    <border>
      <left style="thin">
        <color auto="1"/>
      </left>
      <right/>
      <top style="thin">
        <color indexed="64"/>
      </top>
      <bottom style="medium">
        <color indexed="64"/>
      </bottom>
      <diagonal/>
    </border>
    <border>
      <left style="medium">
        <color auto="1"/>
      </left>
      <right style="thin">
        <color auto="1"/>
      </right>
      <top style="thin">
        <color indexed="64"/>
      </top>
      <bottom style="medium">
        <color indexed="64"/>
      </bottom>
      <diagonal/>
    </border>
    <border>
      <left style="medium">
        <color auto="1"/>
      </left>
      <right style="thin">
        <color auto="1"/>
      </right>
      <top style="thin">
        <color indexed="64"/>
      </top>
      <bottom style="thin">
        <color auto="1"/>
      </bottom>
      <diagonal/>
    </border>
    <border>
      <left style="medium">
        <color auto="1"/>
      </left>
      <right style="thin">
        <color auto="1"/>
      </right>
      <top style="thin">
        <color indexed="64"/>
      </top>
      <bottom/>
      <diagonal/>
    </border>
    <border>
      <left/>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medium">
        <color auto="1"/>
      </bottom>
      <diagonal/>
    </border>
    <border>
      <left style="medium">
        <color auto="1"/>
      </left>
      <right style="thin">
        <color auto="1"/>
      </right>
      <top style="medium">
        <color indexed="64"/>
      </top>
      <bottom style="thin">
        <color auto="1"/>
      </bottom>
      <diagonal/>
    </border>
    <border>
      <left style="medium">
        <color auto="1"/>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medium">
        <color auto="1"/>
      </left>
      <right style="thin">
        <color auto="1"/>
      </right>
      <top style="thin">
        <color indexed="64"/>
      </top>
      <bottom style="thin">
        <color auto="1"/>
      </bottom>
      <diagonal/>
    </border>
    <border>
      <left style="medium">
        <color auto="1"/>
      </left>
      <right style="thin">
        <color auto="1"/>
      </right>
      <top style="thin">
        <color indexed="64"/>
      </top>
      <bottom/>
      <diagonal/>
    </border>
    <border>
      <left/>
      <right/>
      <top/>
      <bottom style="medium">
        <color indexed="49"/>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49"/>
      </bottom>
      <diagonal/>
    </border>
    <border>
      <left style="medium">
        <color auto="1"/>
      </left>
      <right/>
      <top style="medium">
        <color indexed="64"/>
      </top>
      <bottom/>
      <diagonal/>
    </border>
    <border>
      <left style="medium">
        <color auto="1"/>
      </left>
      <right style="medium">
        <color indexed="64"/>
      </right>
      <top style="thin">
        <color auto="1"/>
      </top>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auto="1"/>
      </top>
      <bottom style="thin">
        <color indexed="64"/>
      </bottom>
      <diagonal/>
    </border>
    <border>
      <left/>
      <right/>
      <top/>
      <bottom style="medium">
        <color indexed="64"/>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76">
    <xf numFmtId="0" fontId="0" fillId="0" borderId="0"/>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11"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4"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7" fillId="16" borderId="1" applyNumberFormat="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8" fillId="11" borderId="0" applyNumberFormat="0" applyBorder="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1" fillId="6" borderId="2" applyNumberFormat="0" applyFont="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1" fillId="2"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7" fillId="2" borderId="9"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19" fillId="4" borderId="4"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1" fillId="0" borderId="0"/>
    <xf numFmtId="0" fontId="29" fillId="0" borderId="0" applyNumberFormat="0" applyFill="0" applyBorder="0" applyAlignment="0" applyProtection="0">
      <alignment vertical="top"/>
      <protection locked="0"/>
    </xf>
    <xf numFmtId="0" fontId="15" fillId="0" borderId="76" applyNumberFormat="0" applyFill="0" applyAlignment="0" applyProtection="0">
      <alignment vertical="center"/>
    </xf>
    <xf numFmtId="0" fontId="16" fillId="0" borderId="72" applyNumberFormat="0" applyFill="0" applyAlignment="0" applyProtection="0">
      <alignment vertical="center"/>
    </xf>
    <xf numFmtId="0" fontId="15" fillId="0" borderId="71" applyNumberFormat="0" applyFill="0" applyAlignment="0" applyProtection="0">
      <alignment vertical="center"/>
    </xf>
    <xf numFmtId="0" fontId="15" fillId="0" borderId="71" applyNumberFormat="0" applyFill="0" applyAlignment="0" applyProtection="0">
      <alignment vertical="center"/>
    </xf>
    <xf numFmtId="0" fontId="15" fillId="0" borderId="71" applyNumberFormat="0" applyFill="0" applyAlignment="0" applyProtection="0">
      <alignment vertical="center"/>
    </xf>
    <xf numFmtId="0" fontId="15" fillId="0" borderId="71" applyNumberFormat="0" applyFill="0" applyAlignment="0" applyProtection="0">
      <alignment vertical="center"/>
    </xf>
    <xf numFmtId="0" fontId="15" fillId="0" borderId="71" applyNumberFormat="0" applyFill="0" applyAlignment="0" applyProtection="0">
      <alignment vertical="center"/>
    </xf>
    <xf numFmtId="0" fontId="15" fillId="0" borderId="71"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1" fillId="2" borderId="70" applyNumberFormat="0" applyAlignment="0" applyProtection="0">
      <alignment vertical="center"/>
    </xf>
    <xf numFmtId="0" fontId="11" fillId="2" borderId="70" applyNumberFormat="0" applyAlignment="0" applyProtection="0">
      <alignment vertical="center"/>
    </xf>
    <xf numFmtId="0" fontId="11" fillId="2" borderId="70" applyNumberFormat="0" applyAlignment="0" applyProtection="0">
      <alignment vertical="center"/>
    </xf>
    <xf numFmtId="0" fontId="11" fillId="2" borderId="70" applyNumberFormat="0" applyAlignment="0" applyProtection="0">
      <alignment vertical="center"/>
    </xf>
    <xf numFmtId="0" fontId="11" fillId="2" borderId="70" applyNumberFormat="0" applyAlignment="0" applyProtection="0">
      <alignment vertical="center"/>
    </xf>
    <xf numFmtId="0" fontId="11" fillId="2" borderId="70" applyNumberFormat="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 fillId="6" borderId="69" applyNumberFormat="0" applyFont="0" applyAlignment="0" applyProtection="0">
      <alignment vertical="center"/>
    </xf>
    <xf numFmtId="0" fontId="1" fillId="6" borderId="69" applyNumberFormat="0" applyFont="0" applyAlignment="0" applyProtection="0">
      <alignment vertical="center"/>
    </xf>
    <xf numFmtId="0" fontId="1" fillId="6" borderId="69" applyNumberFormat="0" applyFont="0" applyAlignment="0" applyProtection="0">
      <alignment vertical="center"/>
    </xf>
    <xf numFmtId="0" fontId="1" fillId="6" borderId="69" applyNumberFormat="0" applyFont="0" applyAlignment="0" applyProtection="0">
      <alignment vertical="center"/>
    </xf>
    <xf numFmtId="0" fontId="1" fillId="6" borderId="69" applyNumberFormat="0" applyFont="0" applyAlignment="0" applyProtection="0">
      <alignment vertical="center"/>
    </xf>
    <xf numFmtId="0" fontId="1" fillId="6" borderId="69" applyNumberFormat="0" applyFont="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 fillId="6" borderId="65" applyNumberFormat="0" applyFont="0" applyAlignment="0" applyProtection="0">
      <alignment vertical="center"/>
    </xf>
    <xf numFmtId="0" fontId="1" fillId="6" borderId="65" applyNumberFormat="0" applyFont="0" applyAlignment="0" applyProtection="0">
      <alignment vertical="center"/>
    </xf>
    <xf numFmtId="0" fontId="1" fillId="6" borderId="65" applyNumberFormat="0" applyFont="0" applyAlignment="0" applyProtection="0">
      <alignment vertical="center"/>
    </xf>
    <xf numFmtId="0" fontId="1" fillId="6" borderId="65" applyNumberFormat="0" applyFont="0" applyAlignment="0" applyProtection="0">
      <alignment vertical="center"/>
    </xf>
    <xf numFmtId="0" fontId="1" fillId="6" borderId="65" applyNumberFormat="0" applyFont="0" applyAlignment="0" applyProtection="0">
      <alignment vertical="center"/>
    </xf>
    <xf numFmtId="0" fontId="1" fillId="6" borderId="65" applyNumberFormat="0" applyFont="0" applyAlignment="0" applyProtection="0">
      <alignment vertical="center"/>
    </xf>
    <xf numFmtId="0" fontId="11" fillId="2" borderId="66" applyNumberFormat="0" applyAlignment="0" applyProtection="0">
      <alignment vertical="center"/>
    </xf>
    <xf numFmtId="0" fontId="11" fillId="2" borderId="66" applyNumberFormat="0" applyAlignment="0" applyProtection="0">
      <alignment vertical="center"/>
    </xf>
    <xf numFmtId="0" fontId="11" fillId="2" borderId="66" applyNumberFormat="0" applyAlignment="0" applyProtection="0">
      <alignment vertical="center"/>
    </xf>
    <xf numFmtId="0" fontId="11" fillId="2" borderId="66" applyNumberFormat="0" applyAlignment="0" applyProtection="0">
      <alignment vertical="center"/>
    </xf>
    <xf numFmtId="0" fontId="11" fillId="2" borderId="66" applyNumberFormat="0" applyAlignment="0" applyProtection="0">
      <alignment vertical="center"/>
    </xf>
    <xf numFmtId="0" fontId="11" fillId="2" borderId="66" applyNumberFormat="0" applyAlignment="0" applyProtection="0">
      <alignment vertical="center"/>
    </xf>
    <xf numFmtId="0" fontId="16" fillId="0" borderId="67" applyNumberFormat="0" applyFill="0" applyAlignment="0" applyProtection="0">
      <alignment vertical="center"/>
    </xf>
    <xf numFmtId="0" fontId="16" fillId="0" borderId="67" applyNumberFormat="0" applyFill="0" applyAlignment="0" applyProtection="0">
      <alignment vertical="center"/>
    </xf>
    <xf numFmtId="0" fontId="16" fillId="0" borderId="67" applyNumberFormat="0" applyFill="0" applyAlignment="0" applyProtection="0">
      <alignment vertical="center"/>
    </xf>
    <xf numFmtId="0" fontId="16" fillId="0" borderId="67" applyNumberFormat="0" applyFill="0" applyAlignment="0" applyProtection="0">
      <alignment vertical="center"/>
    </xf>
    <xf numFmtId="0" fontId="16" fillId="0" borderId="67" applyNumberFormat="0" applyFill="0" applyAlignment="0" applyProtection="0">
      <alignment vertical="center"/>
    </xf>
    <xf numFmtId="0" fontId="16" fillId="0" borderId="67" applyNumberFormat="0" applyFill="0" applyAlignment="0" applyProtection="0">
      <alignment vertical="center"/>
    </xf>
    <xf numFmtId="0" fontId="17" fillId="2" borderId="68" applyNumberFormat="0" applyAlignment="0" applyProtection="0">
      <alignment vertical="center"/>
    </xf>
    <xf numFmtId="0" fontId="17" fillId="2" borderId="68" applyNumberFormat="0" applyAlignment="0" applyProtection="0">
      <alignment vertical="center"/>
    </xf>
    <xf numFmtId="0" fontId="17" fillId="2" borderId="68" applyNumberFormat="0" applyAlignment="0" applyProtection="0">
      <alignment vertical="center"/>
    </xf>
    <xf numFmtId="0" fontId="17" fillId="2" borderId="68" applyNumberFormat="0" applyAlignment="0" applyProtection="0">
      <alignment vertical="center"/>
    </xf>
    <xf numFmtId="0" fontId="17" fillId="2" borderId="68" applyNumberFormat="0" applyAlignment="0" applyProtection="0">
      <alignment vertical="center"/>
    </xf>
    <xf numFmtId="0" fontId="17" fillId="2" borderId="68" applyNumberFormat="0" applyAlignment="0" applyProtection="0">
      <alignment vertical="center"/>
    </xf>
    <xf numFmtId="0" fontId="15" fillId="0" borderId="76" applyNumberFormat="0" applyFill="0" applyAlignment="0" applyProtection="0">
      <alignment vertical="center"/>
    </xf>
    <xf numFmtId="0" fontId="15" fillId="0" borderId="76" applyNumberFormat="0" applyFill="0" applyAlignment="0" applyProtection="0">
      <alignment vertical="center"/>
    </xf>
    <xf numFmtId="0" fontId="19" fillId="4" borderId="66" applyNumberFormat="0" applyAlignment="0" applyProtection="0">
      <alignment vertical="center"/>
    </xf>
    <xf numFmtId="0" fontId="19" fillId="4" borderId="66" applyNumberFormat="0" applyAlignment="0" applyProtection="0">
      <alignment vertical="center"/>
    </xf>
    <xf numFmtId="0" fontId="19" fillId="4" borderId="66" applyNumberFormat="0" applyAlignment="0" applyProtection="0">
      <alignment vertical="center"/>
    </xf>
    <xf numFmtId="0" fontId="19" fillId="4" borderId="66" applyNumberFormat="0" applyAlignment="0" applyProtection="0">
      <alignment vertical="center"/>
    </xf>
    <xf numFmtId="0" fontId="19" fillId="4" borderId="66" applyNumberFormat="0" applyAlignment="0" applyProtection="0">
      <alignment vertical="center"/>
    </xf>
    <xf numFmtId="0" fontId="19" fillId="4" borderId="66" applyNumberFormat="0" applyAlignment="0" applyProtection="0">
      <alignment vertical="center"/>
    </xf>
    <xf numFmtId="0" fontId="15" fillId="0" borderId="76" applyNumberFormat="0" applyFill="0" applyAlignment="0" applyProtection="0">
      <alignment vertical="center"/>
    </xf>
    <xf numFmtId="0" fontId="15" fillId="0" borderId="76" applyNumberFormat="0" applyFill="0" applyAlignment="0" applyProtection="0">
      <alignment vertical="center"/>
    </xf>
    <xf numFmtId="0" fontId="15" fillId="0" borderId="76" applyNumberFormat="0" applyFill="0" applyAlignment="0" applyProtection="0">
      <alignment vertical="center"/>
    </xf>
    <xf numFmtId="0" fontId="16" fillId="0" borderId="72" applyNumberFormat="0" applyFill="0" applyAlignment="0" applyProtection="0">
      <alignment vertical="center"/>
    </xf>
    <xf numFmtId="0" fontId="16" fillId="0" borderId="72" applyNumberFormat="0" applyFill="0" applyAlignment="0" applyProtection="0">
      <alignment vertical="center"/>
    </xf>
    <xf numFmtId="0" fontId="16" fillId="0" borderId="72" applyNumberFormat="0" applyFill="0" applyAlignment="0" applyProtection="0">
      <alignment vertical="center"/>
    </xf>
    <xf numFmtId="0" fontId="16" fillId="0" borderId="72" applyNumberFormat="0" applyFill="0" applyAlignment="0" applyProtection="0">
      <alignment vertical="center"/>
    </xf>
    <xf numFmtId="0" fontId="16" fillId="0" borderId="72" applyNumberFormat="0" applyFill="0" applyAlignment="0" applyProtection="0">
      <alignment vertical="center"/>
    </xf>
    <xf numFmtId="0" fontId="17" fillId="2" borderId="73" applyNumberFormat="0" applyAlignment="0" applyProtection="0">
      <alignment vertical="center"/>
    </xf>
    <xf numFmtId="0" fontId="17" fillId="2" borderId="73" applyNumberFormat="0" applyAlignment="0" applyProtection="0">
      <alignment vertical="center"/>
    </xf>
    <xf numFmtId="0" fontId="17" fillId="2" borderId="73" applyNumberFormat="0" applyAlignment="0" applyProtection="0">
      <alignment vertical="center"/>
    </xf>
    <xf numFmtId="0" fontId="17" fillId="2" borderId="73" applyNumberFormat="0" applyAlignment="0" applyProtection="0">
      <alignment vertical="center"/>
    </xf>
    <xf numFmtId="0" fontId="17" fillId="2" borderId="73" applyNumberFormat="0" applyAlignment="0" applyProtection="0">
      <alignment vertical="center"/>
    </xf>
    <xf numFmtId="0" fontId="17" fillId="2" borderId="73" applyNumberFormat="0" applyAlignment="0" applyProtection="0">
      <alignment vertical="center"/>
    </xf>
    <xf numFmtId="0" fontId="19" fillId="4" borderId="70" applyNumberFormat="0" applyAlignment="0" applyProtection="0">
      <alignment vertical="center"/>
    </xf>
    <xf numFmtId="0" fontId="19" fillId="4" borderId="70" applyNumberFormat="0" applyAlignment="0" applyProtection="0">
      <alignment vertical="center"/>
    </xf>
    <xf numFmtId="0" fontId="19" fillId="4" borderId="70" applyNumberFormat="0" applyAlignment="0" applyProtection="0">
      <alignment vertical="center"/>
    </xf>
    <xf numFmtId="0" fontId="19" fillId="4" borderId="70" applyNumberFormat="0" applyAlignment="0" applyProtection="0">
      <alignment vertical="center"/>
    </xf>
    <xf numFmtId="0" fontId="19" fillId="4" borderId="70" applyNumberFormat="0" applyAlignment="0" applyProtection="0">
      <alignment vertical="center"/>
    </xf>
    <xf numFmtId="0" fontId="19" fillId="4" borderId="70" applyNumberFormat="0" applyAlignment="0" applyProtection="0">
      <alignment vertical="center"/>
    </xf>
    <xf numFmtId="0" fontId="1" fillId="6" borderId="69" applyNumberFormat="0" applyFont="0" applyAlignment="0" applyProtection="0">
      <alignment vertical="center"/>
    </xf>
    <xf numFmtId="0" fontId="1" fillId="6" borderId="69" applyNumberFormat="0" applyFont="0" applyAlignment="0" applyProtection="0">
      <alignment vertical="center"/>
    </xf>
    <xf numFmtId="0" fontId="1" fillId="6" borderId="69" applyNumberFormat="0" applyFont="0" applyAlignment="0" applyProtection="0">
      <alignment vertical="center"/>
    </xf>
    <xf numFmtId="0" fontId="1" fillId="6" borderId="69" applyNumberFormat="0" applyFont="0" applyAlignment="0" applyProtection="0">
      <alignment vertical="center"/>
    </xf>
    <xf numFmtId="0" fontId="1" fillId="6" borderId="69" applyNumberFormat="0" applyFont="0" applyAlignment="0" applyProtection="0">
      <alignment vertical="center"/>
    </xf>
    <xf numFmtId="0" fontId="1" fillId="6" borderId="69" applyNumberFormat="0" applyFont="0" applyAlignment="0" applyProtection="0">
      <alignment vertical="center"/>
    </xf>
    <xf numFmtId="0" fontId="11" fillId="2" borderId="70" applyNumberFormat="0" applyAlignment="0" applyProtection="0">
      <alignment vertical="center"/>
    </xf>
    <xf numFmtId="0" fontId="11" fillId="2" borderId="70" applyNumberFormat="0" applyAlignment="0" applyProtection="0">
      <alignment vertical="center"/>
    </xf>
    <xf numFmtId="0" fontId="11" fillId="2" borderId="70" applyNumberFormat="0" applyAlignment="0" applyProtection="0">
      <alignment vertical="center"/>
    </xf>
    <xf numFmtId="0" fontId="11" fillId="2" borderId="70" applyNumberFormat="0" applyAlignment="0" applyProtection="0">
      <alignment vertical="center"/>
    </xf>
    <xf numFmtId="0" fontId="11" fillId="2" borderId="70" applyNumberFormat="0" applyAlignment="0" applyProtection="0">
      <alignment vertical="center"/>
    </xf>
    <xf numFmtId="0" fontId="11" fillId="2" borderId="70" applyNumberFormat="0" applyAlignment="0" applyProtection="0">
      <alignment vertical="center"/>
    </xf>
    <xf numFmtId="0" fontId="16" fillId="0" borderId="72" applyNumberFormat="0" applyFill="0" applyAlignment="0" applyProtection="0">
      <alignment vertical="center"/>
    </xf>
    <xf numFmtId="0" fontId="16" fillId="0" borderId="72" applyNumberFormat="0" applyFill="0" applyAlignment="0" applyProtection="0">
      <alignment vertical="center"/>
    </xf>
    <xf numFmtId="0" fontId="16" fillId="0" borderId="72" applyNumberFormat="0" applyFill="0" applyAlignment="0" applyProtection="0">
      <alignment vertical="center"/>
    </xf>
    <xf numFmtId="0" fontId="16" fillId="0" borderId="72" applyNumberFormat="0" applyFill="0" applyAlignment="0" applyProtection="0">
      <alignment vertical="center"/>
    </xf>
    <xf numFmtId="0" fontId="16" fillId="0" borderId="72" applyNumberFormat="0" applyFill="0" applyAlignment="0" applyProtection="0">
      <alignment vertical="center"/>
    </xf>
    <xf numFmtId="0" fontId="16" fillId="0" borderId="72" applyNumberFormat="0" applyFill="0" applyAlignment="0" applyProtection="0">
      <alignment vertical="center"/>
    </xf>
    <xf numFmtId="0" fontId="17" fillId="2" borderId="73" applyNumberFormat="0" applyAlignment="0" applyProtection="0">
      <alignment vertical="center"/>
    </xf>
    <xf numFmtId="0" fontId="17" fillId="2" borderId="73" applyNumberFormat="0" applyAlignment="0" applyProtection="0">
      <alignment vertical="center"/>
    </xf>
    <xf numFmtId="0" fontId="17" fillId="2" borderId="73" applyNumberFormat="0" applyAlignment="0" applyProtection="0">
      <alignment vertical="center"/>
    </xf>
    <xf numFmtId="0" fontId="17" fillId="2" borderId="73" applyNumberFormat="0" applyAlignment="0" applyProtection="0">
      <alignment vertical="center"/>
    </xf>
    <xf numFmtId="0" fontId="17" fillId="2" borderId="73" applyNumberFormat="0" applyAlignment="0" applyProtection="0">
      <alignment vertical="center"/>
    </xf>
    <xf numFmtId="0" fontId="17" fillId="2" borderId="73" applyNumberFormat="0" applyAlignment="0" applyProtection="0">
      <alignment vertical="center"/>
    </xf>
    <xf numFmtId="0" fontId="19" fillId="4" borderId="70" applyNumberFormat="0" applyAlignment="0" applyProtection="0">
      <alignment vertical="center"/>
    </xf>
    <xf numFmtId="0" fontId="19" fillId="4" borderId="70" applyNumberFormat="0" applyAlignment="0" applyProtection="0">
      <alignment vertical="center"/>
    </xf>
    <xf numFmtId="0" fontId="19" fillId="4" borderId="70" applyNumberFormat="0" applyAlignment="0" applyProtection="0">
      <alignment vertical="center"/>
    </xf>
    <xf numFmtId="0" fontId="19" fillId="4" borderId="70" applyNumberFormat="0" applyAlignment="0" applyProtection="0">
      <alignment vertical="center"/>
    </xf>
    <xf numFmtId="0" fontId="19" fillId="4" borderId="70" applyNumberFormat="0" applyAlignment="0" applyProtection="0">
      <alignment vertical="center"/>
    </xf>
    <xf numFmtId="0" fontId="19" fillId="4" borderId="70" applyNumberFormat="0" applyAlignment="0" applyProtection="0">
      <alignment vertical="center"/>
    </xf>
    <xf numFmtId="0" fontId="15" fillId="0" borderId="76" applyNumberFormat="0" applyFill="0" applyAlignment="0" applyProtection="0">
      <alignment vertical="center"/>
    </xf>
    <xf numFmtId="0" fontId="15" fillId="0" borderId="76" applyNumberFormat="0" applyFill="0" applyAlignment="0" applyProtection="0">
      <alignment vertical="center"/>
    </xf>
    <xf numFmtId="0" fontId="15" fillId="0" borderId="76" applyNumberFormat="0" applyFill="0" applyAlignment="0" applyProtection="0">
      <alignment vertical="center"/>
    </xf>
    <xf numFmtId="0" fontId="15" fillId="0" borderId="76" applyNumberFormat="0" applyFill="0" applyAlignment="0" applyProtection="0">
      <alignment vertical="center"/>
    </xf>
    <xf numFmtId="0" fontId="15" fillId="0" borderId="76" applyNumberFormat="0" applyFill="0" applyAlignment="0" applyProtection="0">
      <alignment vertical="center"/>
    </xf>
    <xf numFmtId="0" fontId="15" fillId="0" borderId="76"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0" fontId="15" fillId="0" borderId="83" applyNumberFormat="0" applyFill="0" applyAlignment="0" applyProtection="0">
      <alignment vertical="center"/>
    </xf>
    <xf numFmtId="38" fontId="1" fillId="0" borderId="0" applyFont="0" applyFill="0" applyBorder="0" applyAlignment="0" applyProtection="0">
      <alignment vertical="center"/>
    </xf>
  </cellStyleXfs>
  <cellXfs count="531">
    <xf numFmtId="0" fontId="0" fillId="0" borderId="0" xfId="0"/>
    <xf numFmtId="0" fontId="3" fillId="0" borderId="0" xfId="0" applyFont="1" applyFill="1" applyBorder="1" applyAlignment="1">
      <alignment horizontal="left" vertical="center" wrapText="1"/>
    </xf>
    <xf numFmtId="0" fontId="0" fillId="0" borderId="0" xfId="0" applyFont="1" applyAlignment="1">
      <alignment wrapText="1"/>
    </xf>
    <xf numFmtId="0" fontId="3" fillId="17" borderId="14" xfId="0" applyFont="1" applyFill="1" applyBorder="1" applyAlignment="1">
      <alignment horizontal="center" vertical="center" wrapText="1"/>
    </xf>
    <xf numFmtId="0" fontId="3" fillId="0" borderId="0" xfId="0" applyFont="1" applyAlignment="1">
      <alignment horizontal="center" vertical="center" wrapText="1"/>
    </xf>
    <xf numFmtId="49" fontId="3" fillId="17" borderId="15" xfId="0" applyNumberFormat="1" applyFont="1" applyFill="1" applyBorder="1" applyAlignment="1">
      <alignment horizontal="center" vertical="center" wrapText="1"/>
    </xf>
    <xf numFmtId="0" fontId="3" fillId="0" borderId="17" xfId="0" applyFont="1" applyFill="1" applyBorder="1" applyAlignment="1">
      <alignment horizontal="left" vertical="top" wrapText="1" shrinkToFit="1"/>
    </xf>
    <xf numFmtId="0" fontId="3" fillId="0" borderId="0" xfId="0" applyFont="1" applyFill="1" applyAlignment="1">
      <alignment wrapText="1"/>
    </xf>
    <xf numFmtId="0" fontId="3" fillId="0" borderId="12" xfId="0" applyFont="1" applyFill="1" applyBorder="1" applyAlignment="1">
      <alignment vertical="top" wrapText="1"/>
    </xf>
    <xf numFmtId="0" fontId="3" fillId="0" borderId="12" xfId="0" applyFont="1" applyFill="1" applyBorder="1" applyAlignment="1">
      <alignment vertical="top" shrinkToFit="1"/>
    </xf>
    <xf numFmtId="0" fontId="3" fillId="0" borderId="24" xfId="0" applyFont="1" applyFill="1" applyBorder="1" applyAlignment="1">
      <alignment vertical="top" shrinkToFit="1"/>
    </xf>
    <xf numFmtId="0" fontId="3" fillId="0" borderId="0" xfId="0" applyFont="1" applyFill="1" applyAlignment="1">
      <alignment vertical="top" wrapText="1"/>
    </xf>
    <xf numFmtId="0" fontId="3" fillId="0" borderId="12" xfId="0" applyFont="1" applyFill="1" applyBorder="1" applyAlignment="1">
      <alignment horizontal="left" vertical="top" wrapText="1"/>
    </xf>
    <xf numFmtId="0" fontId="3" fillId="0" borderId="12" xfId="0" applyFont="1" applyFill="1" applyBorder="1" applyAlignment="1">
      <alignment horizontal="left" vertical="top" shrinkToFit="1"/>
    </xf>
    <xf numFmtId="0" fontId="3" fillId="0" borderId="13" xfId="0" applyFont="1" applyFill="1" applyBorder="1" applyAlignment="1">
      <alignment vertical="top" wrapText="1"/>
    </xf>
    <xf numFmtId="0" fontId="3" fillId="0" borderId="13" xfId="0" applyFont="1" applyFill="1" applyBorder="1" applyAlignment="1">
      <alignment vertical="top" shrinkToFit="1"/>
    </xf>
    <xf numFmtId="0" fontId="3" fillId="0" borderId="10" xfId="0" applyFont="1" applyFill="1" applyBorder="1" applyAlignment="1">
      <alignment vertical="top" wrapText="1"/>
    </xf>
    <xf numFmtId="0" fontId="3" fillId="0" borderId="10" xfId="0" applyFont="1" applyFill="1" applyBorder="1" applyAlignment="1">
      <alignment vertical="top" shrinkToFit="1"/>
    </xf>
    <xf numFmtId="22" fontId="3" fillId="0" borderId="0" xfId="0" applyNumberFormat="1" applyFont="1" applyFill="1" applyBorder="1" applyAlignment="1">
      <alignment horizontal="left" vertical="center" shrinkToFit="1"/>
    </xf>
    <xf numFmtId="0" fontId="3" fillId="0" borderId="0" xfId="0" applyFont="1" applyFill="1" applyBorder="1" applyAlignment="1">
      <alignment horizontal="left" vertical="center" shrinkToFit="1"/>
    </xf>
    <xf numFmtId="0" fontId="3" fillId="0" borderId="0" xfId="0" applyFont="1" applyFill="1" applyBorder="1" applyAlignment="1">
      <alignment vertical="center" shrinkToFit="1"/>
    </xf>
    <xf numFmtId="0" fontId="3" fillId="0" borderId="0" xfId="0" applyFont="1" applyAlignment="1">
      <alignment horizontal="center" vertical="center" shrinkToFit="1"/>
    </xf>
    <xf numFmtId="0" fontId="3" fillId="0" borderId="0" xfId="0" applyFont="1" applyAlignment="1">
      <alignment wrapText="1"/>
    </xf>
    <xf numFmtId="0" fontId="3" fillId="0" borderId="0" xfId="0" applyFont="1" applyAlignment="1">
      <alignment shrinkToFit="1"/>
    </xf>
    <xf numFmtId="0" fontId="0" fillId="0" borderId="0" xfId="0" applyFont="1" applyAlignment="1">
      <alignment shrinkToFit="1"/>
    </xf>
    <xf numFmtId="0" fontId="3" fillId="0" borderId="0" xfId="0" applyFont="1" applyAlignment="1">
      <alignment horizontal="center" shrinkToFit="1"/>
    </xf>
    <xf numFmtId="0" fontId="3" fillId="0" borderId="0" xfId="0" applyFont="1" applyAlignment="1">
      <alignment horizontal="center" vertical="top" shrinkToFit="1"/>
    </xf>
    <xf numFmtId="0" fontId="3" fillId="0" borderId="0" xfId="0" applyFont="1" applyAlignment="1">
      <alignment vertical="top" shrinkToFit="1"/>
    </xf>
    <xf numFmtId="0" fontId="3" fillId="0" borderId="0" xfId="0" applyFont="1" applyAlignment="1">
      <alignment vertical="top" wrapText="1"/>
    </xf>
    <xf numFmtId="0" fontId="3" fillId="0" borderId="10" xfId="0" applyFont="1" applyFill="1" applyBorder="1" applyAlignment="1">
      <alignment horizontal="left" vertical="top" wrapText="1" shrinkToFit="1"/>
    </xf>
    <xf numFmtId="0" fontId="3" fillId="0" borderId="21" xfId="0" applyFont="1" applyFill="1" applyBorder="1" applyAlignment="1">
      <alignment vertical="top" shrinkToFit="1"/>
    </xf>
    <xf numFmtId="0" fontId="3" fillId="0" borderId="20" xfId="0" applyFont="1" applyFill="1" applyBorder="1" applyAlignment="1">
      <alignment vertical="top" shrinkToFit="1"/>
    </xf>
    <xf numFmtId="0" fontId="3" fillId="0" borderId="26" xfId="0" applyFont="1" applyFill="1" applyBorder="1" applyAlignment="1">
      <alignment vertical="top" shrinkToFit="1"/>
    </xf>
    <xf numFmtId="0" fontId="3" fillId="0" borderId="21" xfId="0" applyFont="1" applyFill="1" applyBorder="1" applyAlignment="1">
      <alignment horizontal="left" vertical="top" shrinkToFit="1"/>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shrinkToFit="1"/>
    </xf>
    <xf numFmtId="0" fontId="3" fillId="0" borderId="0" xfId="0" applyFont="1" applyFill="1" applyAlignment="1">
      <alignment horizontal="center" vertical="top" shrinkToFit="1"/>
    </xf>
    <xf numFmtId="0" fontId="3" fillId="0" borderId="0" xfId="0" applyFont="1" applyFill="1" applyAlignment="1">
      <alignment vertical="top" shrinkToFit="1"/>
    </xf>
    <xf numFmtId="0" fontId="0" fillId="0" borderId="0" xfId="0" applyFont="1" applyAlignment="1">
      <alignment horizontal="center" vertical="center" shrinkToFit="1"/>
    </xf>
    <xf numFmtId="176" fontId="3" fillId="0" borderId="12" xfId="0" applyNumberFormat="1" applyFont="1" applyFill="1" applyBorder="1" applyAlignment="1">
      <alignment vertical="top" shrinkToFit="1"/>
    </xf>
    <xf numFmtId="0" fontId="0" fillId="0" borderId="0" xfId="0" applyFont="1" applyFill="1" applyBorder="1" applyAlignment="1">
      <alignment vertical="top" wrapText="1"/>
    </xf>
    <xf numFmtId="0" fontId="0" fillId="0" borderId="0" xfId="0" applyFont="1" applyFill="1" applyBorder="1" applyAlignment="1">
      <alignment vertical="top" shrinkToFit="1"/>
    </xf>
    <xf numFmtId="0" fontId="3" fillId="0" borderId="17" xfId="0" applyFont="1" applyBorder="1" applyAlignment="1">
      <alignment vertical="top" shrinkToFit="1"/>
    </xf>
    <xf numFmtId="0" fontId="3" fillId="0" borderId="12" xfId="0" applyFont="1" applyBorder="1" applyAlignment="1">
      <alignment vertical="top" shrinkToFit="1"/>
    </xf>
    <xf numFmtId="0" fontId="0" fillId="0" borderId="0" xfId="0" applyFont="1" applyBorder="1" applyAlignment="1">
      <alignment horizontal="center" vertical="center" wrapText="1"/>
    </xf>
    <xf numFmtId="0" fontId="3" fillId="0" borderId="0" xfId="0" applyFont="1" applyBorder="1" applyAlignment="1">
      <alignment horizontal="center" vertical="center" shrinkToFit="1"/>
    </xf>
    <xf numFmtId="49" fontId="3" fillId="0" borderId="0" xfId="0" applyNumberFormat="1" applyFont="1" applyBorder="1" applyAlignment="1">
      <alignment vertical="top" wrapText="1"/>
    </xf>
    <xf numFmtId="0" fontId="3" fillId="18" borderId="0" xfId="0" applyFont="1" applyFill="1" applyBorder="1" applyAlignment="1">
      <alignment horizontal="left" vertical="center" wrapText="1"/>
    </xf>
    <xf numFmtId="0" fontId="3" fillId="18" borderId="0" xfId="0" applyFont="1" applyFill="1" applyBorder="1" applyAlignment="1">
      <alignment vertical="center" shrinkToFit="1"/>
    </xf>
    <xf numFmtId="49" fontId="0" fillId="0" borderId="0" xfId="0" applyNumberFormat="1" applyFont="1" applyBorder="1" applyAlignment="1">
      <alignment vertical="top" wrapText="1"/>
    </xf>
    <xf numFmtId="0" fontId="3" fillId="0" borderId="0" xfId="0" applyFont="1" applyBorder="1" applyAlignment="1">
      <alignment horizontal="left" vertical="center" wrapText="1" indent="2"/>
    </xf>
    <xf numFmtId="0" fontId="3" fillId="0" borderId="0" xfId="0" applyFont="1" applyBorder="1" applyAlignment="1">
      <alignment horizontal="left" vertical="center" shrinkToFit="1"/>
    </xf>
    <xf numFmtId="0" fontId="3" fillId="0" borderId="0" xfId="0" applyFont="1" applyBorder="1" applyAlignment="1">
      <alignment horizontal="left" wrapText="1"/>
    </xf>
    <xf numFmtId="0" fontId="3" fillId="0" borderId="0" xfId="0" applyFont="1" applyBorder="1" applyAlignment="1">
      <alignment horizontal="left" shrinkToFit="1"/>
    </xf>
    <xf numFmtId="0" fontId="3" fillId="0" borderId="0" xfId="0" applyFont="1" applyBorder="1" applyAlignment="1">
      <alignment horizontal="left" vertical="top" wrapText="1"/>
    </xf>
    <xf numFmtId="0" fontId="3" fillId="0" borderId="0" xfId="0" applyFont="1" applyBorder="1" applyAlignment="1">
      <alignment horizontal="left" vertical="top" shrinkToFit="1"/>
    </xf>
    <xf numFmtId="0" fontId="3" fillId="0" borderId="37" xfId="0" applyFont="1" applyFill="1" applyBorder="1" applyAlignment="1">
      <alignment vertical="top" wrapText="1"/>
    </xf>
    <xf numFmtId="0" fontId="3" fillId="0" borderId="37" xfId="0" applyFont="1" applyFill="1" applyBorder="1" applyAlignment="1">
      <alignment vertical="top" shrinkToFit="1"/>
    </xf>
    <xf numFmtId="0" fontId="3" fillId="0" borderId="38" xfId="0" applyFont="1" applyFill="1" applyBorder="1" applyAlignment="1">
      <alignment vertical="top" shrinkToFit="1"/>
    </xf>
    <xf numFmtId="0" fontId="3" fillId="0" borderId="38" xfId="0" applyFont="1" applyFill="1" applyBorder="1" applyAlignment="1">
      <alignment vertical="top" wrapText="1"/>
    </xf>
    <xf numFmtId="0" fontId="3" fillId="0" borderId="37" xfId="0" applyFont="1" applyFill="1" applyBorder="1" applyAlignment="1">
      <alignment horizontal="left" vertical="top" wrapText="1"/>
    </xf>
    <xf numFmtId="0" fontId="3" fillId="17" borderId="34" xfId="0" applyFont="1" applyFill="1" applyBorder="1" applyAlignment="1">
      <alignment horizontal="center" vertical="center" wrapText="1"/>
    </xf>
    <xf numFmtId="0" fontId="3" fillId="17" borderId="36" xfId="0" applyFont="1" applyFill="1" applyBorder="1" applyAlignment="1">
      <alignment horizontal="center" vertical="center" shrinkToFit="1"/>
    </xf>
    <xf numFmtId="49" fontId="3" fillId="17" borderId="37" xfId="0" applyNumberFormat="1" applyFont="1" applyFill="1" applyBorder="1" applyAlignment="1">
      <alignment horizontal="center" vertical="center" wrapText="1"/>
    </xf>
    <xf numFmtId="0" fontId="3" fillId="17" borderId="37" xfId="0" applyFont="1" applyFill="1" applyBorder="1" applyAlignment="1">
      <alignment horizontal="center" vertical="center" wrapText="1"/>
    </xf>
    <xf numFmtId="0" fontId="3" fillId="17" borderId="37" xfId="0" applyFont="1" applyFill="1" applyBorder="1" applyAlignment="1">
      <alignment horizontal="center" vertical="center" shrinkToFit="1"/>
    </xf>
    <xf numFmtId="0" fontId="3" fillId="17" borderId="38" xfId="0" applyFont="1" applyFill="1" applyBorder="1" applyAlignment="1">
      <alignment horizontal="center" vertical="center" shrinkToFit="1"/>
    </xf>
    <xf numFmtId="0" fontId="3" fillId="0" borderId="29" xfId="0" applyFont="1" applyFill="1" applyBorder="1" applyAlignment="1">
      <alignment vertical="top" shrinkToFit="1"/>
    </xf>
    <xf numFmtId="49" fontId="3" fillId="0" borderId="12" xfId="0" applyNumberFormat="1" applyFont="1" applyFill="1" applyBorder="1" applyAlignment="1">
      <alignment horizontal="center" vertical="top" wrapText="1"/>
    </xf>
    <xf numFmtId="0" fontId="3" fillId="17" borderId="43" xfId="0" applyFont="1" applyFill="1" applyBorder="1" applyAlignment="1">
      <alignment horizontal="center" vertical="center" shrinkToFit="1"/>
    </xf>
    <xf numFmtId="0" fontId="3" fillId="0" borderId="26" xfId="0" applyFont="1" applyFill="1" applyBorder="1" applyAlignment="1">
      <alignment horizontal="left" vertical="top" shrinkToFit="1"/>
    </xf>
    <xf numFmtId="0" fontId="3" fillId="0" borderId="44" xfId="0" applyFont="1" applyFill="1" applyBorder="1" applyAlignment="1">
      <alignment vertical="top" shrinkToFit="1"/>
    </xf>
    <xf numFmtId="0" fontId="23" fillId="0" borderId="0" xfId="0" applyFont="1" applyBorder="1" applyAlignment="1">
      <alignment wrapText="1"/>
    </xf>
    <xf numFmtId="0" fontId="22" fillId="0" borderId="0" xfId="0" applyFont="1" applyBorder="1" applyAlignment="1">
      <alignment horizontal="center" vertical="top" wrapText="1"/>
    </xf>
    <xf numFmtId="0" fontId="3" fillId="0" borderId="48" xfId="0" applyFont="1" applyFill="1" applyBorder="1" applyAlignment="1">
      <alignment horizontal="center" vertical="center" textRotation="90" shrinkToFit="1"/>
    </xf>
    <xf numFmtId="0" fontId="28" fillId="19" borderId="48" xfId="0" applyFont="1" applyFill="1" applyBorder="1" applyAlignment="1">
      <alignment horizontal="center" vertical="center" shrinkToFit="1"/>
    </xf>
    <xf numFmtId="0" fontId="0" fillId="0" borderId="0" xfId="0" applyProtection="1"/>
    <xf numFmtId="0" fontId="0" fillId="20" borderId="52" xfId="0" applyNumberFormat="1" applyFont="1" applyFill="1" applyBorder="1" applyProtection="1"/>
    <xf numFmtId="0" fontId="0" fillId="20" borderId="52" xfId="0" applyNumberFormat="1" applyFill="1" applyBorder="1" applyProtection="1"/>
    <xf numFmtId="0" fontId="0" fillId="20" borderId="52" xfId="0" applyFill="1" applyBorder="1" applyProtection="1"/>
    <xf numFmtId="0" fontId="3" fillId="0" borderId="0" xfId="0" applyFont="1" applyAlignment="1">
      <alignment horizontal="left" wrapText="1"/>
    </xf>
    <xf numFmtId="49" fontId="3" fillId="0" borderId="12" xfId="0" applyNumberFormat="1" applyFont="1" applyFill="1" applyBorder="1" applyAlignment="1">
      <alignment horizontal="center" vertical="center" wrapText="1"/>
    </xf>
    <xf numFmtId="0" fontId="3" fillId="0" borderId="27" xfId="0" applyFont="1" applyFill="1" applyBorder="1" applyAlignment="1">
      <alignment horizontal="left" vertical="top" shrinkToFit="1"/>
    </xf>
    <xf numFmtId="0" fontId="3" fillId="0" borderId="48" xfId="0" applyFont="1" applyFill="1" applyBorder="1" applyAlignment="1">
      <alignment horizontal="center" textRotation="90" shrinkToFit="1"/>
    </xf>
    <xf numFmtId="0" fontId="3" fillId="0" borderId="48" xfId="0" applyFont="1" applyFill="1" applyBorder="1" applyAlignment="1">
      <alignment horizontal="center" vertical="top" textRotation="90" shrinkToFit="1"/>
    </xf>
    <xf numFmtId="0" fontId="30" fillId="0" borderId="10" xfId="0" applyFont="1" applyFill="1" applyBorder="1" applyAlignment="1">
      <alignment vertical="top" wrapText="1"/>
    </xf>
    <xf numFmtId="0" fontId="30" fillId="0" borderId="12" xfId="0" applyFont="1" applyFill="1" applyBorder="1" applyAlignment="1">
      <alignment vertical="top" wrapText="1"/>
    </xf>
    <xf numFmtId="0" fontId="30" fillId="0" borderId="37" xfId="0" applyFont="1" applyFill="1" applyBorder="1" applyAlignment="1">
      <alignment vertical="top" wrapText="1"/>
    </xf>
    <xf numFmtId="0" fontId="3" fillId="0" borderId="12" xfId="248" applyFont="1" applyFill="1" applyBorder="1" applyAlignment="1" applyProtection="1">
      <alignment horizontal="left" vertical="center" wrapText="1"/>
    </xf>
    <xf numFmtId="0" fontId="3" fillId="0" borderId="29" xfId="0" applyFont="1" applyFill="1" applyBorder="1" applyAlignment="1">
      <alignment horizontal="left" vertical="center" wrapText="1"/>
    </xf>
    <xf numFmtId="0" fontId="3" fillId="0" borderId="26" xfId="248" applyFont="1" applyFill="1" applyBorder="1" applyAlignment="1" applyProtection="1">
      <alignment horizontal="left" vertical="center" wrapText="1"/>
    </xf>
    <xf numFmtId="0" fontId="3" fillId="0" borderId="43" xfId="0" applyFont="1" applyFill="1" applyBorder="1" applyAlignment="1">
      <alignment horizontal="left" vertical="center" wrapText="1"/>
    </xf>
    <xf numFmtId="0" fontId="3" fillId="0" borderId="17" xfId="248" applyFont="1" applyFill="1" applyBorder="1" applyAlignment="1" applyProtection="1">
      <alignment horizontal="left" vertical="center"/>
    </xf>
    <xf numFmtId="0" fontId="3" fillId="0" borderId="37" xfId="0" applyFont="1" applyFill="1" applyBorder="1" applyAlignment="1">
      <alignment horizontal="left" vertical="center" wrapText="1"/>
    </xf>
    <xf numFmtId="49" fontId="32" fillId="0" borderId="13" xfId="0" applyNumberFormat="1" applyFont="1" applyFill="1" applyBorder="1" applyAlignment="1">
      <alignment horizontal="center" vertical="center" wrapText="1"/>
    </xf>
    <xf numFmtId="0" fontId="21" fillId="0" borderId="27" xfId="0" applyFont="1" applyFill="1" applyBorder="1" applyAlignment="1">
      <alignment vertical="top" wrapText="1"/>
    </xf>
    <xf numFmtId="0" fontId="31" fillId="0" borderId="12" xfId="0"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43" xfId="0" applyFont="1" applyFill="1" applyBorder="1" applyAlignment="1">
      <alignment horizontal="left" vertical="top" wrapText="1"/>
    </xf>
    <xf numFmtId="0" fontId="28" fillId="19" borderId="14" xfId="0" applyFont="1" applyFill="1" applyBorder="1" applyAlignment="1">
      <alignment horizontal="center" vertical="center" shrinkToFit="1"/>
    </xf>
    <xf numFmtId="49" fontId="3" fillId="0" borderId="13"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28" xfId="0" applyFont="1" applyFill="1" applyBorder="1" applyAlignment="1">
      <alignment horizontal="center" vertical="center" textRotation="90" shrinkToFit="1"/>
    </xf>
    <xf numFmtId="49" fontId="3" fillId="0" borderId="20" xfId="0" applyNumberFormat="1" applyFont="1" applyFill="1" applyBorder="1" applyAlignment="1">
      <alignment horizontal="center" vertical="center" wrapText="1"/>
    </xf>
    <xf numFmtId="49" fontId="3" fillId="0" borderId="4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wrapText="1"/>
    </xf>
    <xf numFmtId="0" fontId="0" fillId="0" borderId="0" xfId="0" quotePrefix="1"/>
    <xf numFmtId="49" fontId="3" fillId="0" borderId="37" xfId="0" applyNumberFormat="1" applyFont="1" applyFill="1" applyBorder="1" applyAlignment="1">
      <alignment horizontal="center" vertical="top" wrapText="1"/>
    </xf>
    <xf numFmtId="0" fontId="3" fillId="0" borderId="37" xfId="0" applyFont="1" applyFill="1" applyBorder="1" applyAlignment="1">
      <alignment horizontal="left" vertical="top" shrinkToFit="1"/>
    </xf>
    <xf numFmtId="0" fontId="3" fillId="0" borderId="43" xfId="0" applyFont="1" applyFill="1" applyBorder="1" applyAlignment="1">
      <alignment horizontal="left" vertical="top" shrinkToFit="1"/>
    </xf>
    <xf numFmtId="0" fontId="3" fillId="0" borderId="43" xfId="0" applyFont="1" applyFill="1" applyBorder="1" applyAlignment="1">
      <alignment vertical="top" shrinkToFit="1"/>
    </xf>
    <xf numFmtId="0" fontId="3" fillId="0" borderId="28" xfId="0" applyFont="1" applyFill="1" applyBorder="1" applyAlignment="1">
      <alignment horizontal="center" textRotation="90" shrinkToFit="1"/>
    </xf>
    <xf numFmtId="0" fontId="3" fillId="0" borderId="36" xfId="0" applyFont="1" applyFill="1" applyBorder="1" applyAlignment="1">
      <alignment horizontal="center" vertical="top" textRotation="90" shrinkToFit="1"/>
    </xf>
    <xf numFmtId="0" fontId="3" fillId="0" borderId="10" xfId="0" applyFont="1" applyBorder="1" applyAlignment="1">
      <alignment horizontal="left" vertical="center" wrapText="1"/>
    </xf>
    <xf numFmtId="0" fontId="3" fillId="0" borderId="20" xfId="0" applyFont="1" applyBorder="1" applyAlignment="1">
      <alignment vertical="center" wrapText="1"/>
    </xf>
    <xf numFmtId="0" fontId="3" fillId="0" borderId="37" xfId="0" applyFont="1" applyBorder="1" applyAlignment="1">
      <alignment horizontal="left" vertical="center" wrapText="1"/>
    </xf>
    <xf numFmtId="0" fontId="3" fillId="0" borderId="40" xfId="0" applyFont="1" applyBorder="1" applyAlignment="1">
      <alignmen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shrinkToFit="1"/>
    </xf>
    <xf numFmtId="0" fontId="3" fillId="0" borderId="26" xfId="0" applyFont="1" applyBorder="1" applyAlignment="1">
      <alignment vertical="center" wrapText="1" shrinkToFit="1"/>
    </xf>
    <xf numFmtId="0" fontId="3" fillId="0" borderId="13" xfId="0" applyFont="1" applyBorder="1" applyAlignment="1">
      <alignment horizontal="left" vertical="center" wrapText="1"/>
    </xf>
    <xf numFmtId="0" fontId="3" fillId="0" borderId="13" xfId="0" applyFont="1" applyBorder="1" applyAlignment="1">
      <alignment horizontal="left" vertical="center" shrinkToFit="1"/>
    </xf>
    <xf numFmtId="0" fontId="3" fillId="0" borderId="29" xfId="0" applyFont="1" applyBorder="1" applyAlignment="1">
      <alignment vertical="center" wrapText="1" shrinkToFit="1"/>
    </xf>
    <xf numFmtId="0" fontId="3" fillId="0" borderId="17" xfId="0" applyFont="1" applyBorder="1" applyAlignment="1">
      <alignment horizontal="left" vertical="center" wrapText="1"/>
    </xf>
    <xf numFmtId="0" fontId="32" fillId="0" borderId="44" xfId="0" applyFont="1" applyBorder="1" applyAlignment="1">
      <alignment vertical="center" shrinkToFit="1"/>
    </xf>
    <xf numFmtId="0" fontId="3" fillId="0" borderId="12" xfId="0" applyFont="1" applyBorder="1" applyAlignment="1">
      <alignment horizontal="left" vertical="center"/>
    </xf>
    <xf numFmtId="0" fontId="32" fillId="0" borderId="26" xfId="0" applyFont="1" applyBorder="1" applyAlignment="1">
      <alignment vertical="center" shrinkToFit="1"/>
    </xf>
    <xf numFmtId="0" fontId="3" fillId="0" borderId="44" xfId="248" applyFont="1" applyFill="1" applyBorder="1" applyAlignment="1" applyProtection="1">
      <alignment horizontal="left" vertical="center"/>
    </xf>
    <xf numFmtId="0" fontId="3" fillId="0" borderId="42" xfId="247" applyFont="1" applyBorder="1" applyAlignment="1">
      <alignment horizontal="left" vertical="center" wrapText="1" shrinkToFit="1"/>
    </xf>
    <xf numFmtId="0" fontId="3" fillId="0" borderId="29" xfId="0" applyFont="1" applyBorder="1" applyAlignment="1">
      <alignment horizontal="left" vertical="center" wrapText="1"/>
    </xf>
    <xf numFmtId="0" fontId="3" fillId="0" borderId="53" xfId="247" applyFont="1" applyBorder="1" applyAlignment="1">
      <alignment vertical="center" wrapText="1"/>
    </xf>
    <xf numFmtId="49" fontId="3" fillId="0" borderId="12" xfId="0" applyNumberFormat="1" applyFont="1" applyBorder="1" applyAlignment="1">
      <alignment horizontal="center" vertical="center" wrapText="1"/>
    </xf>
    <xf numFmtId="0" fontId="3" fillId="0" borderId="12" xfId="0" applyFont="1" applyBorder="1" applyAlignment="1">
      <alignment vertical="center" wrapText="1"/>
    </xf>
    <xf numFmtId="0" fontId="3" fillId="0" borderId="12" xfId="0" applyFont="1" applyBorder="1" applyAlignment="1">
      <alignment vertical="center" shrinkToFit="1"/>
    </xf>
    <xf numFmtId="0" fontId="3" fillId="0" borderId="26" xfId="0" applyFont="1" applyBorder="1" applyAlignment="1">
      <alignment vertical="center" shrinkToFit="1"/>
    </xf>
    <xf numFmtId="49" fontId="3" fillId="0" borderId="13"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13" xfId="0" applyFont="1" applyBorder="1" applyAlignment="1">
      <alignment vertical="center" shrinkToFit="1"/>
    </xf>
    <xf numFmtId="0" fontId="3" fillId="0" borderId="29" xfId="0" applyFont="1" applyBorder="1" applyAlignment="1">
      <alignment vertical="center" shrinkToFit="1"/>
    </xf>
    <xf numFmtId="0" fontId="34" fillId="0" borderId="12" xfId="0" applyFont="1" applyBorder="1" applyAlignment="1">
      <alignment horizontal="left" vertical="center" wrapText="1" shrinkToFit="1"/>
    </xf>
    <xf numFmtId="0" fontId="34" fillId="0" borderId="26" xfId="0" applyFont="1" applyBorder="1" applyAlignment="1">
      <alignment vertical="center" shrinkToFit="1"/>
    </xf>
    <xf numFmtId="0" fontId="34" fillId="0" borderId="13" xfId="0" applyFont="1" applyBorder="1" applyAlignment="1">
      <alignment vertical="center" wrapText="1"/>
    </xf>
    <xf numFmtId="0" fontId="34" fillId="0" borderId="10" xfId="0" applyFont="1" applyBorder="1" applyAlignment="1">
      <alignment horizontal="left" vertical="center" wrapText="1" shrinkToFit="1"/>
    </xf>
    <xf numFmtId="0" fontId="34" fillId="0" borderId="20" xfId="0" applyFont="1" applyBorder="1" applyAlignment="1">
      <alignment vertical="center" shrinkToFit="1"/>
    </xf>
    <xf numFmtId="0" fontId="34" fillId="0" borderId="10" xfId="0" applyFont="1" applyBorder="1" applyAlignment="1">
      <alignment vertical="center" wrapText="1"/>
    </xf>
    <xf numFmtId="0" fontId="34" fillId="0" borderId="10" xfId="247" applyFont="1" applyBorder="1" applyAlignment="1">
      <alignment vertical="center" shrinkToFit="1"/>
    </xf>
    <xf numFmtId="0" fontId="34" fillId="0" borderId="12" xfId="247" applyFont="1" applyBorder="1" applyAlignment="1">
      <alignment vertical="center" shrinkToFit="1"/>
    </xf>
    <xf numFmtId="0" fontId="34" fillId="0" borderId="10" xfId="0" applyFont="1" applyBorder="1" applyAlignment="1">
      <alignment vertical="center" shrinkToFit="1"/>
    </xf>
    <xf numFmtId="0" fontId="34" fillId="0" borderId="13" xfId="0" applyFont="1" applyBorder="1" applyAlignment="1">
      <alignment horizontal="left" vertical="center" shrinkToFit="1"/>
    </xf>
    <xf numFmtId="0" fontId="35" fillId="0" borderId="12" xfId="0" applyFont="1" applyBorder="1" applyAlignment="1">
      <alignment vertical="center" wrapText="1"/>
    </xf>
    <xf numFmtId="0" fontId="3" fillId="0" borderId="10" xfId="0" applyFont="1" applyBorder="1" applyAlignment="1">
      <alignment vertical="center" wrapText="1"/>
    </xf>
    <xf numFmtId="0" fontId="34" fillId="0" borderId="29" xfId="0" applyFont="1" applyBorder="1" applyAlignment="1">
      <alignment vertical="center" shrinkToFit="1"/>
    </xf>
    <xf numFmtId="0" fontId="34" fillId="0" borderId="13" xfId="0" applyFont="1" applyBorder="1" applyAlignment="1">
      <alignment vertical="center" shrinkToFit="1"/>
    </xf>
    <xf numFmtId="0" fontId="34" fillId="0" borderId="20" xfId="248" applyFont="1" applyFill="1" applyBorder="1" applyAlignment="1" applyProtection="1">
      <alignment horizontal="left" vertical="center"/>
    </xf>
    <xf numFmtId="0" fontId="34" fillId="0" borderId="29" xfId="0" applyFont="1" applyBorder="1" applyAlignment="1">
      <alignment horizontal="left" vertical="center" shrinkToFit="1"/>
    </xf>
    <xf numFmtId="0" fontId="3" fillId="0" borderId="17" xfId="248" applyFont="1" applyFill="1" applyBorder="1" applyAlignment="1" applyProtection="1">
      <alignment vertical="center"/>
    </xf>
    <xf numFmtId="0" fontId="3" fillId="0" borderId="17" xfId="0" applyFont="1" applyBorder="1" applyAlignment="1">
      <alignment vertical="center" wrapText="1"/>
    </xf>
    <xf numFmtId="0" fontId="3" fillId="0" borderId="13" xfId="0" applyFont="1" applyBorder="1" applyAlignment="1">
      <alignment horizontal="left" vertical="center"/>
    </xf>
    <xf numFmtId="0" fontId="3" fillId="0" borderId="12" xfId="248" applyFont="1" applyFill="1" applyBorder="1" applyAlignment="1" applyProtection="1">
      <alignment horizontal="left" vertical="center"/>
    </xf>
    <xf numFmtId="0" fontId="3" fillId="0" borderId="62" xfId="0" applyFont="1" applyBorder="1" applyAlignment="1">
      <alignment horizontal="left" vertical="center"/>
    </xf>
    <xf numFmtId="0" fontId="3" fillId="0" borderId="62" xfId="0" applyFont="1" applyBorder="1" applyAlignment="1">
      <alignment horizontal="left" vertical="center" wrapText="1"/>
    </xf>
    <xf numFmtId="0" fontId="3" fillId="0" borderId="20" xfId="0" applyFont="1" applyBorder="1" applyAlignment="1">
      <alignment vertical="center" shrinkToFit="1"/>
    </xf>
    <xf numFmtId="0" fontId="3" fillId="0" borderId="10" xfId="0" applyFont="1" applyBorder="1" applyAlignment="1">
      <alignment vertical="center" shrinkToFit="1"/>
    </xf>
    <xf numFmtId="0" fontId="3" fillId="0" borderId="12" xfId="0" applyFont="1" applyBorder="1" applyAlignment="1">
      <alignment horizontal="justify" vertical="center" wrapText="1"/>
    </xf>
    <xf numFmtId="0" fontId="35" fillId="0" borderId="12" xfId="0" applyFont="1" applyBorder="1" applyAlignment="1">
      <alignment vertical="center" shrinkToFit="1"/>
    </xf>
    <xf numFmtId="0" fontId="34" fillId="0" borderId="17" xfId="0" applyFont="1" applyBorder="1" applyAlignment="1">
      <alignment horizontal="left" vertical="center" wrapText="1" shrinkToFit="1"/>
    </xf>
    <xf numFmtId="0" fontId="34" fillId="0" borderId="44" xfId="0" applyFont="1" applyBorder="1" applyAlignment="1">
      <alignment vertical="center" shrinkToFit="1"/>
    </xf>
    <xf numFmtId="0" fontId="34" fillId="0" borderId="20" xfId="0" applyFont="1" applyBorder="1" applyAlignment="1">
      <alignment vertical="center" wrapText="1" shrinkToFit="1"/>
    </xf>
    <xf numFmtId="0" fontId="34" fillId="0" borderId="29" xfId="0" applyFont="1" applyBorder="1" applyAlignment="1">
      <alignment vertical="center" wrapText="1" shrinkToFit="1"/>
    </xf>
    <xf numFmtId="0" fontId="30" fillId="0" borderId="13" xfId="0" applyFont="1" applyBorder="1" applyAlignment="1">
      <alignment horizontal="left" vertical="center"/>
    </xf>
    <xf numFmtId="0" fontId="33" fillId="0" borderId="13" xfId="0" applyFont="1" applyBorder="1" applyAlignment="1">
      <alignment horizontal="left" vertical="center" wrapText="1"/>
    </xf>
    <xf numFmtId="0" fontId="33" fillId="0" borderId="17" xfId="0" applyFont="1" applyBorder="1" applyAlignment="1">
      <alignment horizontal="left" vertical="center" wrapText="1"/>
    </xf>
    <xf numFmtId="0" fontId="31" fillId="0" borderId="42" xfId="0" applyFont="1" applyBorder="1" applyAlignment="1">
      <alignment horizontal="left" vertical="center" wrapText="1"/>
    </xf>
    <xf numFmtId="0" fontId="30" fillId="0" borderId="78" xfId="0" applyFont="1" applyBorder="1" applyAlignment="1">
      <alignment horizontal="left" vertical="center" wrapText="1"/>
    </xf>
    <xf numFmtId="49" fontId="30" fillId="0" borderId="81" xfId="0" applyNumberFormat="1" applyFont="1" applyBorder="1" applyAlignment="1">
      <alignment horizontal="center" vertical="center" wrapText="1"/>
    </xf>
    <xf numFmtId="0" fontId="0" fillId="0" borderId="81" xfId="0" applyBorder="1" applyAlignment="1">
      <alignment horizontal="left" vertical="center"/>
    </xf>
    <xf numFmtId="0" fontId="0" fillId="0" borderId="82" xfId="0" applyBorder="1" applyAlignment="1">
      <alignment horizontal="left" vertical="center" wrapText="1"/>
    </xf>
    <xf numFmtId="0" fontId="34" fillId="0" borderId="12" xfId="0" applyFont="1" applyBorder="1" applyAlignment="1">
      <alignment vertical="center" shrinkToFit="1"/>
    </xf>
    <xf numFmtId="0" fontId="3" fillId="0" borderId="12" xfId="0" applyFont="1" applyBorder="1" applyAlignment="1">
      <alignment horizontal="center" vertical="center" textRotation="90" shrinkToFit="1"/>
    </xf>
    <xf numFmtId="0" fontId="37" fillId="0" borderId="26" xfId="0" applyFont="1" applyBorder="1" applyAlignment="1">
      <alignment vertical="center" shrinkToFit="1"/>
    </xf>
    <xf numFmtId="0" fontId="32" fillId="0" borderId="20" xfId="0" applyFont="1" applyBorder="1" applyAlignment="1">
      <alignment vertical="center" wrapText="1"/>
    </xf>
    <xf numFmtId="0" fontId="21" fillId="0" borderId="24" xfId="0" applyFont="1" applyFill="1" applyBorder="1" applyAlignment="1">
      <alignment vertical="top" wrapText="1"/>
    </xf>
    <xf numFmtId="0" fontId="35" fillId="0" borderId="44" xfId="0" applyFont="1" applyBorder="1" applyAlignment="1">
      <alignment vertical="center" wrapText="1"/>
    </xf>
    <xf numFmtId="0" fontId="3" fillId="0" borderId="82" xfId="0" applyFont="1" applyBorder="1" applyAlignment="1">
      <alignment vertical="center" shrinkToFit="1"/>
    </xf>
    <xf numFmtId="0" fontId="35" fillId="0" borderId="17" xfId="0" applyFont="1" applyBorder="1" applyAlignment="1">
      <alignment horizontal="left" vertical="center" wrapText="1"/>
    </xf>
    <xf numFmtId="0" fontId="3" fillId="0" borderId="75" xfId="0" applyFont="1" applyBorder="1" applyAlignment="1">
      <alignment vertical="center" wrapText="1"/>
    </xf>
    <xf numFmtId="0" fontId="30" fillId="0" borderId="81" xfId="0" applyFont="1" applyBorder="1" applyAlignment="1">
      <alignment horizontal="left" vertical="center" wrapText="1"/>
    </xf>
    <xf numFmtId="0" fontId="32" fillId="0" borderId="81" xfId="0" applyFont="1" applyFill="1" applyBorder="1" applyAlignment="1">
      <alignment horizontal="left" vertical="top" wrapText="1"/>
    </xf>
    <xf numFmtId="0" fontId="32" fillId="0" borderId="81" xfId="0" applyFont="1" applyFill="1" applyBorder="1" applyAlignment="1">
      <alignment horizontal="left" vertical="top" shrinkToFit="1"/>
    </xf>
    <xf numFmtId="0" fontId="32" fillId="0" borderId="44" xfId="0" applyFont="1" applyBorder="1" applyAlignment="1">
      <alignment vertical="center" wrapText="1"/>
    </xf>
    <xf numFmtId="0" fontId="3" fillId="0" borderId="86" xfId="0" applyFont="1" applyBorder="1" applyAlignment="1">
      <alignment horizontal="left" vertical="center" shrinkToFit="1"/>
    </xf>
    <xf numFmtId="0" fontId="34" fillId="0" borderId="26" xfId="0" applyFont="1" applyBorder="1" applyAlignment="1">
      <alignment vertical="center" wrapText="1" shrinkToFit="1"/>
    </xf>
    <xf numFmtId="0" fontId="3" fillId="0" borderId="20" xfId="0" applyFont="1" applyBorder="1" applyAlignment="1">
      <alignment horizontal="left" vertical="center" shrinkToFit="1"/>
    </xf>
    <xf numFmtId="0" fontId="3" fillId="0" borderId="29" xfId="0" applyFont="1" applyBorder="1" applyAlignment="1">
      <alignment horizontal="left" vertical="center" shrinkToFit="1"/>
    </xf>
    <xf numFmtId="0" fontId="3" fillId="0" borderId="26" xfId="0" applyFont="1" applyBorder="1" applyAlignment="1">
      <alignment horizontal="left" vertical="center" shrinkToFit="1"/>
    </xf>
    <xf numFmtId="0" fontId="3" fillId="0" borderId="82" xfId="0" applyFont="1" applyBorder="1" applyAlignment="1">
      <alignment vertical="center" wrapText="1"/>
    </xf>
    <xf numFmtId="0" fontId="37" fillId="0" borderId="29" xfId="0" applyFont="1" applyBorder="1" applyAlignment="1">
      <alignment vertical="center" shrinkToFit="1"/>
    </xf>
    <xf numFmtId="0" fontId="32" fillId="0" borderId="20" xfId="0" applyFont="1" applyFill="1" applyBorder="1" applyAlignment="1">
      <alignment vertical="top" shrinkToFit="1"/>
    </xf>
    <xf numFmtId="0" fontId="32" fillId="0" borderId="82" xfId="0" applyFont="1" applyFill="1" applyBorder="1" applyAlignment="1">
      <alignment vertical="top" shrinkToFit="1"/>
    </xf>
    <xf numFmtId="0" fontId="3" fillId="0" borderId="29" xfId="0" applyFont="1" applyFill="1" applyBorder="1" applyAlignment="1">
      <alignment horizontal="left" vertical="top" shrinkToFit="1"/>
    </xf>
    <xf numFmtId="0" fontId="3" fillId="0" borderId="0" xfId="0" applyFont="1" applyFill="1" applyBorder="1" applyAlignment="1">
      <alignment shrinkToFit="1"/>
    </xf>
    <xf numFmtId="0" fontId="3" fillId="0" borderId="89" xfId="0" applyFont="1" applyFill="1" applyBorder="1" applyAlignment="1">
      <alignment vertical="top" wrapText="1"/>
    </xf>
    <xf numFmtId="0" fontId="3" fillId="24" borderId="30" xfId="0" applyFont="1" applyFill="1" applyBorder="1" applyAlignment="1">
      <alignment horizontal="center" vertical="center" textRotation="90" shrinkToFit="1"/>
    </xf>
    <xf numFmtId="0" fontId="3" fillId="24" borderId="86" xfId="0" applyFont="1" applyFill="1" applyBorder="1" applyAlignment="1">
      <alignment horizontal="center" vertical="center" textRotation="90" shrinkToFit="1"/>
    </xf>
    <xf numFmtId="0" fontId="3" fillId="0" borderId="20" xfId="0" applyFont="1" applyFill="1" applyBorder="1" applyAlignment="1">
      <alignment horizontal="left" vertical="top" shrinkToFit="1"/>
    </xf>
    <xf numFmtId="49" fontId="3" fillId="0" borderId="82" xfId="0" applyNumberFormat="1" applyFont="1" applyBorder="1" applyAlignment="1">
      <alignment vertical="center" wrapText="1"/>
    </xf>
    <xf numFmtId="0" fontId="3" fillId="0" borderId="26" xfId="0" applyFont="1" applyFill="1" applyBorder="1" applyAlignment="1">
      <alignment shrinkToFit="1"/>
    </xf>
    <xf numFmtId="0" fontId="3" fillId="0" borderId="60" xfId="0" applyFont="1" applyFill="1" applyBorder="1" applyAlignment="1">
      <alignment vertical="top" shrinkToFit="1"/>
    </xf>
    <xf numFmtId="0" fontId="3" fillId="0" borderId="89" xfId="0" applyFont="1" applyFill="1" applyBorder="1" applyAlignment="1">
      <alignment vertical="top" shrinkToFit="1"/>
    </xf>
    <xf numFmtId="0" fontId="39" fillId="0" borderId="44" xfId="0" applyFont="1" applyBorder="1" applyAlignment="1">
      <alignment vertical="center" shrinkToFit="1"/>
    </xf>
    <xf numFmtId="0" fontId="32" fillId="0" borderId="0" xfId="0" applyFont="1" applyBorder="1" applyAlignment="1">
      <alignment vertical="center" wrapText="1"/>
    </xf>
    <xf numFmtId="0" fontId="32" fillId="0" borderId="89" xfId="0" applyFont="1" applyBorder="1" applyAlignment="1">
      <alignment vertical="center" wrapText="1"/>
    </xf>
    <xf numFmtId="0" fontId="35" fillId="0" borderId="26" xfId="0" applyFont="1" applyBorder="1" applyAlignment="1">
      <alignment vertical="center" wrapText="1" shrinkToFit="1"/>
    </xf>
    <xf numFmtId="0" fontId="3" fillId="0" borderId="44" xfId="0" applyFont="1" applyBorder="1" applyAlignment="1">
      <alignment vertical="center" wrapText="1"/>
    </xf>
    <xf numFmtId="0" fontId="3" fillId="0" borderId="26" xfId="0" applyFont="1" applyBorder="1" applyAlignment="1">
      <alignment vertical="center" wrapText="1"/>
    </xf>
    <xf numFmtId="0" fontId="32" fillId="0" borderId="60" xfId="0" applyFont="1" applyBorder="1" applyAlignment="1">
      <alignment vertical="center" wrapText="1"/>
    </xf>
    <xf numFmtId="0" fontId="35" fillId="0" borderId="29" xfId="0" applyFont="1" applyBorder="1" applyAlignment="1">
      <alignment vertical="center" wrapText="1"/>
    </xf>
    <xf numFmtId="0" fontId="35" fillId="0" borderId="42" xfId="0" applyFont="1" applyBorder="1" applyAlignment="1">
      <alignment vertical="center" wrapText="1"/>
    </xf>
    <xf numFmtId="0" fontId="35" fillId="0" borderId="0" xfId="0" applyFont="1" applyBorder="1" applyAlignment="1">
      <alignment vertical="center" wrapText="1"/>
    </xf>
    <xf numFmtId="0" fontId="38" fillId="0" borderId="42" xfId="0" applyFont="1" applyBorder="1" applyAlignment="1">
      <alignment horizontal="left" vertical="center" wrapText="1"/>
    </xf>
    <xf numFmtId="0" fontId="23" fillId="0" borderId="0" xfId="0" applyFont="1" applyBorder="1" applyAlignment="1">
      <alignment horizontal="center" wrapText="1"/>
    </xf>
    <xf numFmtId="0" fontId="3" fillId="0" borderId="80" xfId="0" applyFont="1" applyBorder="1" applyAlignment="1">
      <alignment vertical="center" wrapText="1"/>
    </xf>
    <xf numFmtId="49" fontId="32" fillId="0" borderId="12" xfId="0" applyNumberFormat="1" applyFont="1" applyFill="1" applyBorder="1" applyAlignment="1">
      <alignment horizontal="center" vertical="center" wrapText="1"/>
    </xf>
    <xf numFmtId="0" fontId="3" fillId="0" borderId="81" xfId="0" applyFont="1" applyFill="1" applyBorder="1" applyAlignment="1">
      <alignment horizontal="left" vertical="center"/>
    </xf>
    <xf numFmtId="0" fontId="30" fillId="0" borderId="17" xfId="248" applyFont="1" applyFill="1" applyBorder="1" applyAlignment="1" applyProtection="1">
      <alignment horizontal="left" vertical="center"/>
    </xf>
    <xf numFmtId="0" fontId="23" fillId="0" borderId="0" xfId="0" applyFont="1" applyFill="1" applyBorder="1" applyAlignment="1" applyProtection="1">
      <alignment horizontal="center" wrapText="1"/>
      <protection locked="0"/>
    </xf>
    <xf numFmtId="0" fontId="34" fillId="0" borderId="26" xfId="0" applyFont="1" applyBorder="1" applyAlignment="1">
      <alignment horizontal="left" vertical="center" shrinkToFit="1"/>
    </xf>
    <xf numFmtId="0" fontId="30" fillId="0" borderId="82" xfId="0" applyFont="1" applyBorder="1" applyAlignment="1">
      <alignment vertical="center" shrinkToFit="1"/>
    </xf>
    <xf numFmtId="0" fontId="30" fillId="0" borderId="44" xfId="0" applyFont="1" applyBorder="1" applyAlignment="1">
      <alignment vertical="center" shrinkToFit="1"/>
    </xf>
    <xf numFmtId="0" fontId="0" fillId="0" borderId="0" xfId="0" applyFont="1" applyAlignment="1">
      <alignment wrapText="1"/>
    </xf>
    <xf numFmtId="0" fontId="3" fillId="0" borderId="12" xfId="0" applyFont="1" applyFill="1" applyBorder="1" applyAlignment="1">
      <alignment vertical="top" wrapText="1"/>
    </xf>
    <xf numFmtId="0" fontId="3" fillId="0" borderId="12" xfId="0" applyFont="1" applyFill="1" applyBorder="1" applyAlignment="1">
      <alignment vertical="top" shrinkToFit="1"/>
    </xf>
    <xf numFmtId="0" fontId="3" fillId="0" borderId="12" xfId="0" applyFont="1" applyFill="1" applyBorder="1" applyAlignment="1">
      <alignment horizontal="left" vertical="top" wrapText="1"/>
    </xf>
    <xf numFmtId="0" fontId="3" fillId="0" borderId="10" xfId="0" applyFont="1" applyFill="1" applyBorder="1" applyAlignment="1">
      <alignment vertical="top" shrinkToFit="1"/>
    </xf>
    <xf numFmtId="0" fontId="3" fillId="0" borderId="20" xfId="0" applyFont="1" applyFill="1" applyBorder="1" applyAlignment="1">
      <alignment vertical="top" shrinkToFit="1"/>
    </xf>
    <xf numFmtId="0" fontId="3" fillId="0" borderId="26" xfId="0" applyFont="1" applyFill="1" applyBorder="1" applyAlignment="1">
      <alignment vertical="top" shrinkToFit="1"/>
    </xf>
    <xf numFmtId="176" fontId="3" fillId="0" borderId="12" xfId="0" applyNumberFormat="1" applyFont="1" applyFill="1" applyBorder="1" applyAlignment="1">
      <alignment vertical="top" shrinkToFit="1"/>
    </xf>
    <xf numFmtId="0" fontId="3" fillId="0" borderId="81" xfId="0" applyFont="1" applyFill="1" applyBorder="1" applyAlignment="1">
      <alignment vertical="top" shrinkToFit="1"/>
    </xf>
    <xf numFmtId="0" fontId="3" fillId="0" borderId="26" xfId="0" applyFont="1" applyFill="1" applyBorder="1" applyAlignment="1">
      <alignment horizontal="left" vertical="top" shrinkToFit="1"/>
    </xf>
    <xf numFmtId="0" fontId="23" fillId="0" borderId="0" xfId="0" applyFont="1" applyBorder="1" applyAlignment="1">
      <alignment wrapText="1"/>
    </xf>
    <xf numFmtId="0" fontId="22" fillId="0" borderId="0" xfId="0" applyFont="1" applyBorder="1" applyAlignment="1">
      <alignment horizontal="center" vertical="top" wrapText="1"/>
    </xf>
    <xf numFmtId="0" fontId="3" fillId="0" borderId="48" xfId="0" applyFont="1" applyFill="1" applyBorder="1" applyAlignment="1">
      <alignment horizontal="center" vertical="center" textRotation="90" shrinkToFit="1"/>
    </xf>
    <xf numFmtId="0" fontId="31" fillId="0" borderId="10" xfId="0" applyFont="1" applyFill="1" applyBorder="1" applyAlignment="1">
      <alignment horizontal="left" vertical="center" wrapText="1"/>
    </xf>
    <xf numFmtId="0" fontId="3" fillId="0" borderId="26" xfId="248" applyFont="1" applyFill="1" applyBorder="1" applyAlignment="1" applyProtection="1">
      <alignment horizontal="left" vertical="center" wrapText="1"/>
    </xf>
    <xf numFmtId="0" fontId="3" fillId="0" borderId="17" xfId="248" applyFont="1" applyFill="1" applyBorder="1" applyAlignment="1" applyProtection="1">
      <alignment horizontal="left" vertical="center"/>
    </xf>
    <xf numFmtId="0" fontId="3" fillId="0" borderId="10" xfId="248" applyFont="1" applyFill="1" applyBorder="1" applyAlignment="1" applyProtection="1">
      <alignment horizontal="left" vertical="center"/>
    </xf>
    <xf numFmtId="0" fontId="3" fillId="0" borderId="81"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0" fontId="3" fillId="0" borderId="20" xfId="0" applyFont="1" applyFill="1" applyBorder="1" applyAlignment="1">
      <alignment horizontal="left" vertical="top" wrapText="1"/>
    </xf>
    <xf numFmtId="49" fontId="3" fillId="0" borderId="82" xfId="0" applyNumberFormat="1" applyFont="1" applyFill="1" applyBorder="1" applyAlignment="1">
      <alignment horizontal="center" vertical="center" wrapText="1"/>
    </xf>
    <xf numFmtId="0" fontId="3" fillId="0" borderId="82" xfId="0" applyFont="1" applyFill="1" applyBorder="1" applyAlignment="1">
      <alignment horizontal="left" vertical="top" wrapText="1"/>
    </xf>
    <xf numFmtId="0" fontId="3" fillId="0" borderId="82" xfId="0" applyFont="1" applyFill="1" applyBorder="1" applyAlignment="1">
      <alignment vertical="top" shrinkToFit="1"/>
    </xf>
    <xf numFmtId="0" fontId="32" fillId="0" borderId="10" xfId="0" applyFont="1" applyFill="1" applyBorder="1" applyAlignment="1">
      <alignment horizontal="left" vertical="top" wrapText="1"/>
    </xf>
    <xf numFmtId="0" fontId="32" fillId="0" borderId="10" xfId="0" applyFont="1" applyFill="1" applyBorder="1" applyAlignment="1">
      <alignment horizontal="left" vertical="top" shrinkToFit="1"/>
    </xf>
    <xf numFmtId="0" fontId="3" fillId="0" borderId="10" xfId="0" applyFont="1" applyBorder="1" applyAlignment="1">
      <alignment horizontal="left" vertical="center" wrapText="1"/>
    </xf>
    <xf numFmtId="0" fontId="3" fillId="0" borderId="20" xfId="0" applyFont="1" applyBorder="1" applyAlignment="1">
      <alignment vertical="center" wrapText="1"/>
    </xf>
    <xf numFmtId="0" fontId="3" fillId="0" borderId="81" xfId="0" applyFont="1" applyBorder="1" applyAlignment="1">
      <alignment horizontal="left" vertical="center" wrapText="1"/>
    </xf>
    <xf numFmtId="49" fontId="3" fillId="0" borderId="12" xfId="0" applyNumberFormat="1" applyFont="1" applyBorder="1" applyAlignment="1">
      <alignment horizontal="center" vertical="center" wrapText="1"/>
    </xf>
    <xf numFmtId="0" fontId="3" fillId="0" borderId="12" xfId="0" applyFont="1" applyBorder="1" applyAlignment="1">
      <alignment horizontal="left" vertical="center" wrapText="1"/>
    </xf>
    <xf numFmtId="0" fontId="3" fillId="0" borderId="26" xfId="0" applyFont="1" applyBorder="1" applyAlignment="1">
      <alignment vertical="center" wrapText="1" shrinkToFit="1"/>
    </xf>
    <xf numFmtId="0" fontId="3" fillId="0" borderId="29" xfId="0" applyFont="1" applyBorder="1" applyAlignment="1">
      <alignment vertical="center" wrapText="1" shrinkToFit="1"/>
    </xf>
    <xf numFmtId="0" fontId="3" fillId="0" borderId="12" xfId="0" applyFont="1" applyBorder="1" applyAlignment="1">
      <alignment horizontal="left" vertical="center"/>
    </xf>
    <xf numFmtId="0" fontId="3" fillId="0" borderId="12" xfId="0" applyFont="1" applyBorder="1" applyAlignment="1">
      <alignment vertical="center" wrapText="1"/>
    </xf>
    <xf numFmtId="0" fontId="3" fillId="0" borderId="12" xfId="0" applyFont="1" applyBorder="1" applyAlignment="1">
      <alignment vertical="center" shrinkToFit="1"/>
    </xf>
    <xf numFmtId="0" fontId="3" fillId="0" borderId="26" xfId="0" applyFont="1" applyBorder="1" applyAlignment="1">
      <alignment vertical="center" shrinkToFit="1"/>
    </xf>
    <xf numFmtId="0" fontId="3" fillId="0" borderId="13" xfId="0" applyFont="1" applyBorder="1" applyAlignment="1">
      <alignment vertical="center" wrapText="1"/>
    </xf>
    <xf numFmtId="0" fontId="3" fillId="0" borderId="13" xfId="0" applyFont="1" applyBorder="1" applyAlignment="1">
      <alignment vertical="center" shrinkToFit="1"/>
    </xf>
    <xf numFmtId="0" fontId="3" fillId="0" borderId="29" xfId="0" applyFont="1" applyBorder="1" applyAlignment="1">
      <alignment vertical="center" shrinkToFit="1"/>
    </xf>
    <xf numFmtId="0" fontId="34" fillId="0" borderId="26" xfId="0" applyFont="1" applyBorder="1" applyAlignment="1">
      <alignment vertical="center" shrinkToFit="1"/>
    </xf>
    <xf numFmtId="0" fontId="34" fillId="0" borderId="13" xfId="0" applyFont="1" applyBorder="1" applyAlignment="1">
      <alignment vertical="center" wrapText="1"/>
    </xf>
    <xf numFmtId="0" fontId="34" fillId="0" borderId="10" xfId="0" applyFont="1" applyBorder="1" applyAlignment="1">
      <alignment horizontal="left" vertical="center" wrapText="1" shrinkToFit="1"/>
    </xf>
    <xf numFmtId="0" fontId="34" fillId="0" borderId="20" xfId="0" applyFont="1" applyBorder="1" applyAlignment="1">
      <alignment vertical="center" shrinkToFit="1"/>
    </xf>
    <xf numFmtId="0" fontId="34" fillId="0" borderId="10" xfId="0" applyFont="1" applyBorder="1" applyAlignment="1">
      <alignment vertical="center" wrapText="1"/>
    </xf>
    <xf numFmtId="0" fontId="34" fillId="0" borderId="10" xfId="247" applyFont="1" applyBorder="1" applyAlignment="1">
      <alignment vertical="center" shrinkToFit="1"/>
    </xf>
    <xf numFmtId="0" fontId="34" fillId="0" borderId="12" xfId="247" applyFont="1" applyBorder="1" applyAlignment="1">
      <alignment vertical="center" shrinkToFit="1"/>
    </xf>
    <xf numFmtId="0" fontId="34" fillId="0" borderId="10" xfId="0" applyFont="1" applyBorder="1" applyAlignment="1">
      <alignment vertical="center" shrinkToFit="1"/>
    </xf>
    <xf numFmtId="0" fontId="34" fillId="0" borderId="13" xfId="0" applyFont="1" applyBorder="1" applyAlignment="1">
      <alignment horizontal="left" vertical="center" shrinkToFit="1"/>
    </xf>
    <xf numFmtId="0" fontId="33" fillId="0" borderId="17" xfId="248" applyFont="1" applyFill="1" applyBorder="1" applyAlignment="1" applyProtection="1">
      <alignment horizontal="left" vertical="center"/>
    </xf>
    <xf numFmtId="0" fontId="31" fillId="0" borderId="17" xfId="0" applyFont="1" applyBorder="1" applyAlignment="1">
      <alignment horizontal="left" vertical="center" wrapText="1"/>
    </xf>
    <xf numFmtId="0" fontId="33" fillId="0" borderId="12" xfId="0" applyFont="1" applyBorder="1" applyAlignment="1">
      <alignment horizontal="left" vertical="center"/>
    </xf>
    <xf numFmtId="0" fontId="33" fillId="0" borderId="12" xfId="0" applyFont="1" applyBorder="1" applyAlignment="1">
      <alignment horizontal="left" vertical="center" wrapText="1"/>
    </xf>
    <xf numFmtId="0" fontId="31" fillId="0" borderId="10" xfId="0" applyFont="1" applyBorder="1" applyAlignment="1">
      <alignment horizontal="left" vertical="center" wrapText="1"/>
    </xf>
    <xf numFmtId="0" fontId="3" fillId="0" borderId="81" xfId="0" applyFont="1" applyBorder="1" applyAlignment="1">
      <alignment horizontal="left" vertical="center"/>
    </xf>
    <xf numFmtId="0" fontId="35" fillId="0" borderId="26" xfId="0" applyFont="1" applyBorder="1" applyAlignment="1">
      <alignment vertical="center" wrapText="1"/>
    </xf>
    <xf numFmtId="0" fontId="35" fillId="0" borderId="12" xfId="0" applyFont="1" applyBorder="1" applyAlignment="1">
      <alignment vertical="center" wrapText="1"/>
    </xf>
    <xf numFmtId="0" fontId="3" fillId="0" borderId="10" xfId="0" applyFont="1" applyBorder="1" applyAlignment="1">
      <alignment vertical="center" wrapText="1"/>
    </xf>
    <xf numFmtId="0" fontId="35" fillId="0" borderId="17" xfId="0" applyFont="1" applyBorder="1" applyAlignment="1">
      <alignment vertical="center" wrapText="1"/>
    </xf>
    <xf numFmtId="0" fontId="35" fillId="0" borderId="49" xfId="0" applyFont="1" applyBorder="1" applyAlignment="1">
      <alignment vertical="center" shrinkToFit="1"/>
    </xf>
    <xf numFmtId="0" fontId="35" fillId="0" borderId="13" xfId="0" applyFont="1" applyBorder="1" applyAlignment="1">
      <alignment vertical="center" wrapText="1"/>
    </xf>
    <xf numFmtId="0" fontId="35" fillId="0" borderId="47" xfId="0" applyFont="1" applyBorder="1" applyAlignment="1">
      <alignment vertical="center" shrinkToFit="1"/>
    </xf>
    <xf numFmtId="0" fontId="3" fillId="0" borderId="10" xfId="0" applyFont="1" applyBorder="1" applyAlignment="1">
      <alignment horizontal="justify" vertical="center" wrapText="1"/>
    </xf>
    <xf numFmtId="0" fontId="3" fillId="0" borderId="10" xfId="0" applyFont="1" applyBorder="1" applyAlignment="1">
      <alignment vertical="center" wrapText="1" shrinkToFit="1"/>
    </xf>
    <xf numFmtId="0" fontId="3" fillId="0" borderId="81" xfId="0" applyFont="1" applyBorder="1" applyAlignment="1">
      <alignment vertical="center" wrapText="1"/>
    </xf>
    <xf numFmtId="0" fontId="3" fillId="0" borderId="81" xfId="0" applyFont="1" applyBorder="1" applyAlignment="1">
      <alignment vertical="center" shrinkToFit="1"/>
    </xf>
    <xf numFmtId="0" fontId="34" fillId="0" borderId="29" xfId="0" applyFont="1" applyBorder="1" applyAlignment="1">
      <alignment vertical="center" shrinkToFit="1"/>
    </xf>
    <xf numFmtId="0" fontId="3" fillId="0" borderId="13" xfId="0" applyFont="1" applyBorder="1" applyAlignment="1">
      <alignment horizontal="left" vertical="center"/>
    </xf>
    <xf numFmtId="0" fontId="3" fillId="0" borderId="20" xfId="0" applyFont="1" applyBorder="1" applyAlignment="1">
      <alignment vertical="center" shrinkToFit="1"/>
    </xf>
    <xf numFmtId="0" fontId="3" fillId="0" borderId="10" xfId="0" applyFont="1" applyBorder="1" applyAlignment="1">
      <alignment vertical="center" shrinkToFit="1"/>
    </xf>
    <xf numFmtId="0" fontId="35" fillId="0" borderId="12" xfId="0" applyFont="1" applyBorder="1" applyAlignment="1">
      <alignment vertical="center" shrinkToFit="1"/>
    </xf>
    <xf numFmtId="0" fontId="35" fillId="0" borderId="17" xfId="0" applyFont="1" applyBorder="1" applyAlignment="1">
      <alignment vertical="center" shrinkToFit="1"/>
    </xf>
    <xf numFmtId="0" fontId="34" fillId="0" borderId="17" xfId="0" applyFont="1" applyBorder="1" applyAlignment="1">
      <alignment horizontal="left" vertical="center" wrapText="1" shrinkToFit="1"/>
    </xf>
    <xf numFmtId="0" fontId="34" fillId="0" borderId="44" xfId="0" applyFont="1" applyBorder="1" applyAlignment="1">
      <alignment vertical="center" shrinkToFit="1"/>
    </xf>
    <xf numFmtId="0" fontId="32" fillId="0" borderId="26" xfId="0" applyFont="1" applyBorder="1" applyAlignment="1">
      <alignment vertical="center" wrapText="1"/>
    </xf>
    <xf numFmtId="0" fontId="30" fillId="0" borderId="13" xfId="0" applyFont="1" applyBorder="1" applyAlignment="1">
      <alignment horizontal="left" vertical="center"/>
    </xf>
    <xf numFmtId="0" fontId="33" fillId="0" borderId="13" xfId="0" applyFont="1" applyBorder="1" applyAlignment="1">
      <alignment horizontal="left" vertical="center" wrapText="1"/>
    </xf>
    <xf numFmtId="0" fontId="32" fillId="0" borderId="29" xfId="0" applyFont="1" applyBorder="1" applyAlignment="1">
      <alignment vertical="center" wrapText="1"/>
    </xf>
    <xf numFmtId="0" fontId="3" fillId="0" borderId="30" xfId="0" applyFont="1" applyBorder="1" applyAlignment="1">
      <alignment horizontal="left" vertical="center" shrinkToFit="1"/>
    </xf>
    <xf numFmtId="0" fontId="35" fillId="0" borderId="13" xfId="0" applyFont="1" applyBorder="1" applyAlignment="1">
      <alignment vertical="center" shrinkToFit="1"/>
    </xf>
    <xf numFmtId="0" fontId="30" fillId="0" borderId="53" xfId="0" applyFont="1" applyBorder="1" applyAlignment="1">
      <alignment horizontal="left" vertical="center" wrapText="1"/>
    </xf>
    <xf numFmtId="0" fontId="30" fillId="0" borderId="29" xfId="0" applyFont="1" applyBorder="1" applyAlignment="1">
      <alignment vertical="center" shrinkToFit="1"/>
    </xf>
    <xf numFmtId="49" fontId="30" fillId="0" borderId="10" xfId="0" applyNumberFormat="1" applyFont="1" applyBorder="1" applyAlignment="1">
      <alignment horizontal="center" vertical="center" wrapText="1"/>
    </xf>
    <xf numFmtId="0" fontId="30" fillId="0" borderId="10" xfId="0" applyFont="1" applyBorder="1" applyAlignment="1">
      <alignment horizontal="left" vertical="center"/>
    </xf>
    <xf numFmtId="0" fontId="30" fillId="0" borderId="60" xfId="0" applyFont="1" applyBorder="1" applyAlignment="1">
      <alignment horizontal="left" vertical="center" wrapText="1"/>
    </xf>
    <xf numFmtId="0" fontId="30" fillId="0" borderId="20" xfId="0" applyFont="1" applyBorder="1" applyAlignment="1">
      <alignment vertical="center" shrinkToFit="1"/>
    </xf>
    <xf numFmtId="0" fontId="33" fillId="0" borderId="17" xfId="0" applyFont="1" applyBorder="1" applyAlignment="1">
      <alignment horizontal="left" vertical="center" wrapText="1"/>
    </xf>
    <xf numFmtId="0" fontId="31" fillId="0" borderId="13" xfId="0" applyFont="1" applyBorder="1" applyAlignment="1">
      <alignment horizontal="left" vertical="center" wrapText="1"/>
    </xf>
    <xf numFmtId="0" fontId="3" fillId="0" borderId="20" xfId="248" applyFont="1" applyFill="1" applyBorder="1" applyAlignment="1" applyProtection="1">
      <alignment horizontal="left" vertical="center" wrapText="1"/>
    </xf>
    <xf numFmtId="0" fontId="3" fillId="0" borderId="53" xfId="0" applyFont="1" applyBorder="1" applyAlignment="1">
      <alignment horizontal="left" vertical="center" wrapText="1"/>
    </xf>
    <xf numFmtId="0" fontId="22" fillId="0" borderId="0" xfId="0" applyFont="1" applyBorder="1" applyAlignment="1">
      <alignment vertical="center"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4" xfId="0" applyFont="1"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79" xfId="0" applyBorder="1" applyAlignment="1">
      <alignment horizontal="center" vertical="center" wrapText="1"/>
    </xf>
    <xf numFmtId="49" fontId="3" fillId="0" borderId="26" xfId="0" applyNumberFormat="1" applyFont="1" applyFill="1" applyBorder="1" applyAlignment="1">
      <alignment horizontal="center" vertical="center" wrapText="1"/>
    </xf>
    <xf numFmtId="49" fontId="3" fillId="0" borderId="82"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0" fillId="0" borderId="35" xfId="0" applyBorder="1" applyAlignment="1">
      <alignment horizontal="center" vertical="center" wrapText="1"/>
    </xf>
    <xf numFmtId="0" fontId="3" fillId="0" borderId="79" xfId="0" applyFont="1" applyBorder="1" applyAlignment="1">
      <alignment horizontal="center" vertical="center" wrapText="1"/>
    </xf>
    <xf numFmtId="0" fontId="3" fillId="0" borderId="23" xfId="0" applyFont="1" applyFill="1" applyBorder="1" applyAlignment="1">
      <alignment horizontal="center" vertical="center" textRotation="90" shrinkToFit="1"/>
    </xf>
    <xf numFmtId="0" fontId="3" fillId="0" borderId="25" xfId="0" applyFont="1" applyFill="1" applyBorder="1" applyAlignment="1">
      <alignment horizontal="center" vertical="center" textRotation="90" shrinkToFit="1"/>
    </xf>
    <xf numFmtId="0" fontId="3" fillId="0" borderId="19" xfId="0" applyFont="1" applyBorder="1" applyAlignment="1">
      <alignment horizontal="center" vertical="center" textRotation="90" wrapText="1"/>
    </xf>
    <xf numFmtId="0" fontId="3" fillId="0" borderId="25" xfId="0" applyFont="1" applyBorder="1" applyAlignment="1">
      <alignment horizontal="center" vertical="center" textRotation="90" wrapText="1"/>
    </xf>
    <xf numFmtId="49" fontId="3" fillId="0" borderId="12"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22" borderId="28" xfId="0" applyFont="1" applyFill="1" applyBorder="1" applyAlignment="1">
      <alignment horizontal="center" vertical="center" textRotation="90" wrapText="1"/>
    </xf>
    <xf numFmtId="0" fontId="3" fillId="22" borderId="25" xfId="0" applyFont="1" applyFill="1" applyBorder="1" applyAlignment="1">
      <alignment horizontal="center" vertical="center" textRotation="90" wrapText="1"/>
    </xf>
    <xf numFmtId="0" fontId="3" fillId="23" borderId="59" xfId="0" applyFont="1" applyFill="1" applyBorder="1" applyAlignment="1">
      <alignment horizontal="center" vertical="center" textRotation="90" wrapText="1"/>
    </xf>
    <xf numFmtId="0" fontId="3" fillId="23" borderId="36" xfId="0" applyFont="1" applyFill="1" applyBorder="1" applyAlignment="1">
      <alignment horizontal="center" vertical="center" textRotation="90" wrapText="1"/>
    </xf>
    <xf numFmtId="0" fontId="3" fillId="22" borderId="19" xfId="0" applyFont="1" applyFill="1" applyBorder="1" applyAlignment="1">
      <alignment horizontal="center" vertical="center" textRotation="90" wrapText="1"/>
    </xf>
    <xf numFmtId="0" fontId="3" fillId="0" borderId="36" xfId="0" applyFont="1" applyFill="1" applyBorder="1" applyAlignment="1">
      <alignment horizontal="center" vertical="center" textRotation="90" shrinkToFit="1"/>
    </xf>
    <xf numFmtId="0" fontId="34" fillId="23" borderId="58" xfId="0" applyFont="1" applyFill="1" applyBorder="1" applyAlignment="1">
      <alignment horizontal="center" vertical="center" textRotation="90" wrapText="1"/>
    </xf>
    <xf numFmtId="49" fontId="34" fillId="0" borderId="10" xfId="0" applyNumberFormat="1" applyFont="1" applyBorder="1" applyAlignment="1">
      <alignment horizontal="center" vertical="center" wrapText="1"/>
    </xf>
    <xf numFmtId="49" fontId="34" fillId="0" borderId="13" xfId="0" applyNumberFormat="1" applyFont="1" applyBorder="1" applyAlignment="1">
      <alignment horizontal="center" vertical="center" wrapText="1"/>
    </xf>
    <xf numFmtId="0" fontId="3" fillId="0" borderId="28" xfId="0" applyFont="1" applyFill="1" applyBorder="1" applyAlignment="1">
      <alignment horizontal="center" vertical="center" textRotation="90" shrinkToFit="1"/>
    </xf>
    <xf numFmtId="0" fontId="3" fillId="0" borderId="10" xfId="0" applyFont="1" applyBorder="1" applyAlignment="1">
      <alignment horizontal="center" vertical="center" wrapText="1"/>
    </xf>
    <xf numFmtId="0" fontId="3" fillId="0" borderId="37" xfId="0" applyFont="1" applyBorder="1" applyAlignment="1">
      <alignment horizontal="center" vertical="center" wrapText="1"/>
    </xf>
    <xf numFmtId="49" fontId="34" fillId="0" borderId="17" xfId="0" applyNumberFormat="1" applyFont="1" applyBorder="1" applyAlignment="1">
      <alignment horizontal="center" vertical="center" wrapText="1"/>
    </xf>
    <xf numFmtId="0" fontId="22" fillId="0" borderId="40" xfId="0" applyFont="1" applyBorder="1" applyAlignment="1">
      <alignment horizontal="center" vertical="top" wrapText="1"/>
    </xf>
    <xf numFmtId="0" fontId="0" fillId="0" borderId="40" xfId="0" applyBorder="1" applyAlignment="1">
      <alignment wrapText="1"/>
    </xf>
    <xf numFmtId="0" fontId="28" fillId="20" borderId="50" xfId="0" applyFont="1" applyFill="1" applyBorder="1" applyAlignment="1">
      <alignment horizontal="center" vertical="center" shrinkToFit="1"/>
    </xf>
    <xf numFmtId="0" fontId="28" fillId="20" borderId="88" xfId="0" applyFont="1" applyFill="1" applyBorder="1" applyAlignment="1">
      <alignment horizontal="center" vertical="center" shrinkToFit="1"/>
    </xf>
    <xf numFmtId="49" fontId="3" fillId="0" borderId="44" xfId="0" applyNumberFormat="1" applyFont="1" applyBorder="1" applyAlignment="1">
      <alignment horizontal="center" vertical="center" wrapText="1"/>
    </xf>
    <xf numFmtId="49" fontId="3" fillId="0" borderId="29" xfId="0" applyNumberFormat="1" applyFont="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23" borderId="49" xfId="0" applyFont="1" applyFill="1" applyBorder="1" applyAlignment="1">
      <alignment horizontal="center" vertical="center" textRotation="90" wrapText="1"/>
    </xf>
    <xf numFmtId="0" fontId="3" fillId="23" borderId="48" xfId="0" applyFont="1" applyFill="1" applyBorder="1" applyAlignment="1">
      <alignment horizontal="center" vertical="center" textRotation="90" wrapText="1"/>
    </xf>
    <xf numFmtId="49" fontId="35" fillId="0" borderId="17" xfId="0" applyNumberFormat="1" applyFont="1" applyBorder="1" applyAlignment="1">
      <alignment horizontal="center" vertical="center" wrapText="1"/>
    </xf>
    <xf numFmtId="49" fontId="35" fillId="0" borderId="12" xfId="0" applyNumberFormat="1" applyFont="1" applyBorder="1" applyAlignment="1">
      <alignment horizontal="center" vertical="center" wrapText="1"/>
    </xf>
    <xf numFmtId="0" fontId="3" fillId="23" borderId="30" xfId="0" applyFont="1" applyFill="1" applyBorder="1" applyAlignment="1">
      <alignment horizontal="center" vertical="center" textRotation="90" wrapText="1"/>
    </xf>
    <xf numFmtId="0" fontId="3" fillId="0" borderId="12" xfId="0" applyFont="1" applyBorder="1" applyAlignment="1">
      <alignment horizontal="center" vertical="center" wrapText="1"/>
    </xf>
    <xf numFmtId="0" fontId="3" fillId="0" borderId="30" xfId="0" applyFont="1" applyFill="1" applyBorder="1" applyAlignment="1">
      <alignment horizontal="center" vertical="center" textRotation="90" wrapText="1"/>
    </xf>
    <xf numFmtId="0" fontId="3" fillId="0" borderId="86" xfId="0" applyFont="1" applyFill="1" applyBorder="1" applyAlignment="1">
      <alignment horizontal="center" vertical="center" textRotation="90" wrapText="1"/>
    </xf>
    <xf numFmtId="49" fontId="3" fillId="0" borderId="20" xfId="0" applyNumberFormat="1" applyFont="1" applyFill="1" applyBorder="1" applyAlignment="1">
      <alignment horizontal="center" vertical="center" wrapText="1"/>
    </xf>
    <xf numFmtId="0" fontId="3" fillId="0" borderId="30" xfId="0" applyFont="1" applyBorder="1" applyAlignment="1">
      <alignment horizontal="center" vertical="center" textRotation="90" shrinkToFit="1"/>
    </xf>
    <xf numFmtId="0" fontId="3" fillId="0" borderId="47" xfId="0" applyFont="1" applyBorder="1" applyAlignment="1">
      <alignment horizontal="center" vertical="center" textRotation="90" shrinkToFit="1"/>
    </xf>
    <xf numFmtId="49" fontId="3" fillId="0" borderId="10" xfId="0" applyNumberFormat="1" applyFont="1" applyBorder="1" applyAlignment="1">
      <alignment horizontal="center" vertical="center" wrapText="1"/>
    </xf>
    <xf numFmtId="0" fontId="34" fillId="23" borderId="90" xfId="0" applyFont="1" applyFill="1" applyBorder="1" applyAlignment="1">
      <alignment horizontal="center" vertical="center" textRotation="90" wrapText="1"/>
    </xf>
    <xf numFmtId="0" fontId="3" fillId="23" borderId="47" xfId="0" applyFont="1" applyFill="1" applyBorder="1" applyAlignment="1">
      <alignment horizontal="center" vertical="center" textRotation="90" wrapText="1"/>
    </xf>
    <xf numFmtId="0" fontId="3" fillId="0" borderId="30" xfId="0" applyFont="1" applyFill="1" applyBorder="1" applyAlignment="1">
      <alignment horizontal="center" vertical="center" textRotation="90" shrinkToFit="1"/>
    </xf>
    <xf numFmtId="0" fontId="3" fillId="0" borderId="48" xfId="0" applyFont="1" applyFill="1" applyBorder="1" applyAlignment="1">
      <alignment horizontal="center" vertical="center" textRotation="90" shrinkToFit="1"/>
    </xf>
    <xf numFmtId="0" fontId="3" fillId="0" borderId="47" xfId="0" applyFont="1" applyFill="1" applyBorder="1" applyAlignment="1">
      <alignment horizontal="center" vertical="center" textRotation="90" shrinkToFit="1"/>
    </xf>
    <xf numFmtId="0" fontId="28" fillId="20" borderId="39" xfId="0" applyFont="1" applyFill="1" applyBorder="1" applyAlignment="1">
      <alignment horizontal="center" vertical="center" wrapText="1" shrinkToFit="1"/>
    </xf>
    <xf numFmtId="0" fontId="28" fillId="20" borderId="55" xfId="0" applyFont="1" applyFill="1" applyBorder="1" applyAlignment="1">
      <alignment horizontal="center" vertical="center" wrapText="1" shrinkToFit="1"/>
    </xf>
    <xf numFmtId="0" fontId="28" fillId="20" borderId="22" xfId="0" applyFont="1" applyFill="1" applyBorder="1" applyAlignment="1">
      <alignment horizontal="center" vertical="center" wrapText="1" shrinkToFit="1"/>
    </xf>
    <xf numFmtId="0" fontId="28" fillId="20" borderId="79" xfId="0" applyFont="1" applyFill="1" applyBorder="1" applyAlignment="1">
      <alignment horizontal="center" vertical="center" wrapText="1" shrinkToFit="1"/>
    </xf>
    <xf numFmtId="0" fontId="28" fillId="21" borderId="16" xfId="247" applyFont="1" applyFill="1" applyBorder="1" applyAlignment="1" applyProtection="1">
      <alignment horizontal="center" vertical="center" shrinkToFit="1"/>
      <protection locked="0"/>
    </xf>
    <xf numFmtId="0" fontId="28" fillId="21" borderId="46" xfId="247" applyFont="1" applyFill="1" applyBorder="1" applyAlignment="1" applyProtection="1">
      <alignment horizontal="center" vertical="center" shrinkToFit="1"/>
      <protection locked="0"/>
    </xf>
    <xf numFmtId="0" fontId="23" fillId="21" borderId="11" xfId="0" applyFont="1" applyFill="1" applyBorder="1" applyAlignment="1" applyProtection="1">
      <alignment horizontal="center" wrapText="1"/>
      <protection locked="0"/>
    </xf>
    <xf numFmtId="0" fontId="28" fillId="21" borderId="50" xfId="247" applyFont="1" applyFill="1" applyBorder="1" applyAlignment="1" applyProtection="1">
      <alignment horizontal="center" vertical="center" shrinkToFit="1"/>
      <protection locked="0"/>
    </xf>
    <xf numFmtId="0" fontId="28" fillId="21" borderId="88" xfId="247" applyFont="1" applyFill="1" applyBorder="1" applyAlignment="1" applyProtection="1">
      <alignment horizontal="center" vertical="center" shrinkToFit="1"/>
      <protection locked="0"/>
    </xf>
    <xf numFmtId="0" fontId="28" fillId="21" borderId="51" xfId="247" applyFont="1" applyFill="1" applyBorder="1" applyAlignment="1" applyProtection="1">
      <alignment horizontal="center" vertical="center" shrinkToFit="1"/>
      <protection locked="0"/>
    </xf>
    <xf numFmtId="0" fontId="3" fillId="23" borderId="19" xfId="0" applyFont="1" applyFill="1" applyBorder="1" applyAlignment="1">
      <alignment horizontal="center" vertical="center" textRotation="90" wrapText="1"/>
    </xf>
    <xf numFmtId="0" fontId="3" fillId="23" borderId="25" xfId="0" applyFont="1" applyFill="1" applyBorder="1" applyAlignment="1">
      <alignment horizontal="center" vertical="center" textRotation="90" wrapText="1"/>
    </xf>
    <xf numFmtId="0" fontId="33" fillId="0" borderId="17" xfId="0" applyFont="1" applyBorder="1" applyAlignment="1">
      <alignment horizontal="center" vertical="center" wrapText="1"/>
    </xf>
    <xf numFmtId="0" fontId="33" fillId="0" borderId="13" xfId="0" applyFont="1" applyBorder="1" applyAlignment="1">
      <alignment horizontal="center" vertical="center" wrapText="1"/>
    </xf>
    <xf numFmtId="0" fontId="28" fillId="20" borderId="85" xfId="0" applyFont="1" applyFill="1" applyBorder="1" applyAlignment="1">
      <alignment horizontal="center" vertical="center" wrapText="1" shrinkToFit="1"/>
    </xf>
    <xf numFmtId="0" fontId="28" fillId="20" borderId="46" xfId="0" applyFont="1" applyFill="1" applyBorder="1" applyAlignment="1">
      <alignment horizontal="center" vertical="center" wrapText="1" shrinkToFit="1"/>
    </xf>
    <xf numFmtId="0" fontId="28" fillId="20" borderId="77" xfId="0" applyFont="1" applyFill="1" applyBorder="1" applyAlignment="1">
      <alignment horizontal="center" vertical="center" wrapText="1" shrinkToFit="1"/>
    </xf>
    <xf numFmtId="0" fontId="3" fillId="0" borderId="75" xfId="0" applyFont="1" applyBorder="1" applyAlignment="1">
      <alignment horizontal="center" vertical="center" textRotation="90" shrinkToFit="1"/>
    </xf>
    <xf numFmtId="0" fontId="3" fillId="0" borderId="80" xfId="0" applyFont="1" applyBorder="1" applyAlignment="1">
      <alignment horizontal="center" vertical="center" textRotation="90" shrinkToFit="1"/>
    </xf>
    <xf numFmtId="0" fontId="28" fillId="20" borderId="16" xfId="0" applyFont="1" applyFill="1" applyBorder="1" applyAlignment="1">
      <alignment horizontal="center" vertical="center" wrapText="1" shrinkToFit="1"/>
    </xf>
    <xf numFmtId="0" fontId="35" fillId="23" borderId="19" xfId="0" applyFont="1" applyFill="1" applyBorder="1" applyAlignment="1">
      <alignment horizontal="center" vertical="center" textRotation="90" wrapText="1"/>
    </xf>
    <xf numFmtId="0" fontId="35" fillId="23" borderId="25" xfId="0" applyFont="1" applyFill="1" applyBorder="1" applyAlignment="1">
      <alignment horizontal="center" vertical="center" textRotation="90" wrapText="1"/>
    </xf>
    <xf numFmtId="0" fontId="28" fillId="21" borderId="64" xfId="247" applyFont="1" applyFill="1" applyBorder="1" applyAlignment="1" applyProtection="1">
      <alignment horizontal="center" vertical="center" shrinkToFit="1"/>
      <protection locked="0"/>
    </xf>
    <xf numFmtId="0" fontId="28" fillId="21" borderId="55" xfId="247" applyFont="1" applyFill="1" applyBorder="1" applyAlignment="1" applyProtection="1">
      <alignment horizontal="center" vertical="center" shrinkToFit="1"/>
      <protection locked="0"/>
    </xf>
    <xf numFmtId="0" fontId="3" fillId="23" borderId="75" xfId="0" applyFont="1" applyFill="1" applyBorder="1" applyAlignment="1">
      <alignment horizontal="center" vertical="center" textRotation="90" wrapText="1"/>
    </xf>
    <xf numFmtId="0" fontId="3" fillId="23" borderId="28" xfId="0" applyFont="1" applyFill="1" applyBorder="1" applyAlignment="1">
      <alignment horizontal="center" vertical="center" textRotation="90" wrapText="1"/>
    </xf>
    <xf numFmtId="0" fontId="28" fillId="21" borderId="22" xfId="247" applyFont="1" applyFill="1" applyBorder="1" applyAlignment="1" applyProtection="1">
      <alignment horizontal="center" vertical="center" shrinkToFit="1"/>
      <protection locked="0"/>
    </xf>
    <xf numFmtId="0" fontId="28" fillId="21" borderId="79" xfId="247" applyFont="1" applyFill="1" applyBorder="1" applyAlignment="1" applyProtection="1">
      <alignment horizontal="center" vertical="center" shrinkToFit="1"/>
      <protection locked="0"/>
    </xf>
    <xf numFmtId="0" fontId="25" fillId="0" borderId="16" xfId="0" applyFont="1" applyBorder="1" applyAlignment="1">
      <alignment horizontal="center" vertical="center" wrapText="1"/>
    </xf>
    <xf numFmtId="0" fontId="0" fillId="0" borderId="35" xfId="0" applyBorder="1" applyAlignment="1">
      <alignment wrapText="1"/>
    </xf>
    <xf numFmtId="0" fontId="26" fillId="0" borderId="16" xfId="0" applyFont="1" applyBorder="1" applyAlignment="1">
      <alignment horizontal="center" vertical="center" shrinkToFit="1"/>
    </xf>
    <xf numFmtId="0" fontId="0" fillId="0" borderId="22" xfId="0" applyBorder="1" applyAlignment="1">
      <alignment horizontal="center" vertical="center" shrinkToFit="1"/>
    </xf>
    <xf numFmtId="0" fontId="0" fillId="0" borderId="35" xfId="0" applyBorder="1" applyAlignment="1">
      <alignment shrinkToFit="1"/>
    </xf>
    <xf numFmtId="38" fontId="25" fillId="0" borderId="59" xfId="375" applyFont="1" applyFill="1" applyBorder="1" applyAlignment="1">
      <alignment horizontal="center" vertical="center" wrapText="1"/>
    </xf>
    <xf numFmtId="38" fontId="25" fillId="0" borderId="25" xfId="375" applyFont="1" applyFill="1" applyBorder="1" applyAlignment="1">
      <alignment horizontal="center" vertical="center" wrapText="1"/>
    </xf>
    <xf numFmtId="0" fontId="25" fillId="0" borderId="59" xfId="0" applyFont="1" applyBorder="1" applyAlignment="1">
      <alignment horizontal="center" vertical="center" wrapText="1"/>
    </xf>
    <xf numFmtId="0" fontId="25" fillId="0" borderId="80" xfId="0" applyFont="1" applyBorder="1" applyAlignment="1">
      <alignment horizontal="center" vertical="center" wrapText="1"/>
    </xf>
    <xf numFmtId="0" fontId="26" fillId="0" borderId="21" xfId="0" applyFont="1" applyFill="1" applyBorder="1" applyAlignment="1">
      <alignment horizontal="center" vertical="center" shrinkToFit="1"/>
    </xf>
    <xf numFmtId="0" fontId="26" fillId="0" borderId="27" xfId="0" applyFont="1" applyFill="1" applyBorder="1" applyAlignment="1">
      <alignment horizontal="center" vertical="center" shrinkToFit="1"/>
    </xf>
    <xf numFmtId="0" fontId="26" fillId="0" borderId="21" xfId="0" applyFont="1" applyBorder="1" applyAlignment="1">
      <alignment horizontal="center" vertical="center" shrinkToFit="1"/>
    </xf>
    <xf numFmtId="0" fontId="26" fillId="0" borderId="38" xfId="0" applyFont="1" applyBorder="1" applyAlignment="1">
      <alignment horizontal="center" vertical="center" shrinkToFit="1"/>
    </xf>
    <xf numFmtId="0" fontId="3" fillId="22" borderId="30" xfId="0" applyFont="1" applyFill="1" applyBorder="1" applyAlignment="1">
      <alignment horizontal="center" vertical="center" textRotation="90" wrapText="1"/>
    </xf>
    <xf numFmtId="0" fontId="3" fillId="22" borderId="86" xfId="0" applyFont="1" applyFill="1" applyBorder="1" applyAlignment="1">
      <alignment horizontal="center" vertical="center" textRotation="90" wrapText="1"/>
    </xf>
    <xf numFmtId="0" fontId="3" fillId="24" borderId="48" xfId="0" applyFont="1" applyFill="1" applyBorder="1" applyAlignment="1">
      <alignment horizontal="center" vertical="center" textRotation="90" shrinkToFit="1"/>
    </xf>
    <xf numFmtId="0" fontId="3" fillId="24" borderId="47" xfId="0" applyFont="1" applyFill="1" applyBorder="1" applyAlignment="1">
      <alignment horizontal="center" vertical="center" textRotation="90" shrinkToFit="1"/>
    </xf>
    <xf numFmtId="0" fontId="3" fillId="25" borderId="49" xfId="0" applyFont="1" applyFill="1" applyBorder="1" applyAlignment="1">
      <alignment horizontal="center" vertical="center" textRotation="90" shrinkToFit="1"/>
    </xf>
    <xf numFmtId="0" fontId="3" fillId="25" borderId="47" xfId="0" applyFont="1" applyFill="1" applyBorder="1" applyAlignment="1">
      <alignment horizontal="center" vertical="center" textRotation="90" shrinkToFit="1"/>
    </xf>
    <xf numFmtId="49" fontId="3" fillId="0" borderId="20" xfId="0" applyNumberFormat="1" applyFont="1" applyBorder="1" applyAlignment="1">
      <alignment horizontal="center" vertical="center" wrapText="1"/>
    </xf>
    <xf numFmtId="49" fontId="3" fillId="0" borderId="82"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0" fillId="0" borderId="35" xfId="0" applyFont="1" applyBorder="1" applyAlignment="1">
      <alignment horizontal="center" vertical="center" wrapText="1"/>
    </xf>
    <xf numFmtId="0" fontId="35" fillId="23" borderId="74" xfId="0" applyFont="1" applyFill="1" applyBorder="1" applyAlignment="1">
      <alignment horizontal="center" vertical="center" textRotation="90" wrapText="1"/>
    </xf>
    <xf numFmtId="0" fontId="24" fillId="0" borderId="74" xfId="0" applyFont="1" applyFill="1" applyBorder="1" applyAlignment="1">
      <alignment horizontal="center" vertical="center" textRotation="90" wrapText="1"/>
    </xf>
    <xf numFmtId="0" fontId="24" fillId="0" borderId="57" xfId="0" applyFont="1" applyFill="1" applyBorder="1" applyAlignment="1">
      <alignment horizontal="center" vertical="center" textRotation="90" wrapText="1"/>
    </xf>
    <xf numFmtId="0" fontId="30" fillId="0" borderId="84" xfId="0" applyFont="1" applyBorder="1" applyAlignment="1">
      <alignment horizontal="center" vertical="center" textRotation="90" wrapText="1"/>
    </xf>
    <xf numFmtId="0" fontId="30" fillId="0" borderId="55" xfId="0" applyFont="1" applyBorder="1" applyAlignment="1">
      <alignment horizontal="center" vertical="center" textRotation="90" wrapText="1"/>
    </xf>
    <xf numFmtId="49" fontId="35" fillId="0" borderId="26" xfId="0" applyNumberFormat="1" applyFont="1" applyBorder="1" applyAlignment="1">
      <alignment horizontal="center" vertical="center" wrapText="1"/>
    </xf>
    <xf numFmtId="49" fontId="35" fillId="0" borderId="29" xfId="0" applyNumberFormat="1" applyFont="1" applyBorder="1" applyAlignment="1">
      <alignment horizontal="center" vertical="center" wrapText="1"/>
    </xf>
    <xf numFmtId="0" fontId="30" fillId="0" borderId="39" xfId="0" applyFont="1" applyBorder="1" applyAlignment="1">
      <alignment horizontal="center" vertical="center" textRotation="90" wrapText="1"/>
    </xf>
    <xf numFmtId="0" fontId="30" fillId="0" borderId="77" xfId="0" applyFont="1" applyBorder="1" applyAlignment="1">
      <alignment horizontal="center" vertical="center" textRotation="90" wrapText="1"/>
    </xf>
    <xf numFmtId="49" fontId="30" fillId="0" borderId="17" xfId="0" applyNumberFormat="1" applyFont="1" applyBorder="1" applyAlignment="1">
      <alignment horizontal="center" vertical="center" wrapText="1"/>
    </xf>
    <xf numFmtId="49" fontId="30" fillId="0" borderId="13" xfId="0" applyNumberFormat="1" applyFont="1" applyBorder="1" applyAlignment="1">
      <alignment horizontal="center" vertical="center" wrapText="1"/>
    </xf>
    <xf numFmtId="0" fontId="3" fillId="24" borderId="23" xfId="0" applyFont="1" applyFill="1" applyBorder="1" applyAlignment="1">
      <alignment horizontal="center" vertical="center" textRotation="90" wrapText="1"/>
    </xf>
    <xf numFmtId="0" fontId="3" fillId="24" borderId="36" xfId="0" applyFont="1" applyFill="1" applyBorder="1" applyAlignment="1">
      <alignment horizontal="center" vertical="center" textRotation="90" wrapText="1"/>
    </xf>
    <xf numFmtId="49" fontId="3" fillId="0" borderId="29" xfId="0" applyNumberFormat="1" applyFont="1" applyFill="1" applyBorder="1" applyAlignment="1">
      <alignment horizontal="center" vertical="center" wrapText="1"/>
    </xf>
    <xf numFmtId="49" fontId="3" fillId="0" borderId="56" xfId="0" applyNumberFormat="1" applyFont="1" applyFill="1" applyBorder="1" applyAlignment="1">
      <alignment horizontal="center" vertical="center" wrapText="1"/>
    </xf>
    <xf numFmtId="0" fontId="21" fillId="23" borderId="74" xfId="0" applyFont="1" applyFill="1" applyBorder="1" applyAlignment="1">
      <alignment horizontal="center" vertical="center" textRotation="90" wrapText="1"/>
    </xf>
    <xf numFmtId="0" fontId="36" fillId="23" borderId="57" xfId="0" applyFont="1" applyFill="1" applyBorder="1" applyAlignment="1">
      <alignment horizontal="center" vertical="center" textRotation="90" wrapText="1"/>
    </xf>
    <xf numFmtId="0" fontId="28" fillId="20" borderId="45" xfId="0" applyFont="1" applyFill="1" applyBorder="1" applyAlignment="1">
      <alignment horizontal="center" vertical="center" wrapText="1" shrinkToFit="1"/>
    </xf>
    <xf numFmtId="0" fontId="28" fillId="20" borderId="35" xfId="0" applyFont="1" applyFill="1" applyBorder="1" applyAlignment="1">
      <alignment horizontal="center" vertical="center" wrapText="1" shrinkToFit="1"/>
    </xf>
    <xf numFmtId="0" fontId="3" fillId="24" borderId="48" xfId="0" applyFont="1" applyFill="1" applyBorder="1" applyAlignment="1">
      <alignment horizontal="center" vertical="center" textRotation="90" wrapText="1"/>
    </xf>
    <xf numFmtId="0" fontId="3" fillId="24" borderId="47" xfId="0" applyFont="1" applyFill="1" applyBorder="1" applyAlignment="1">
      <alignment horizontal="center" vertical="center" textRotation="90" wrapText="1"/>
    </xf>
    <xf numFmtId="0" fontId="3" fillId="0" borderId="47" xfId="0" applyFont="1" applyFill="1" applyBorder="1" applyAlignment="1">
      <alignment horizontal="center" vertical="center" textRotation="90" wrapText="1"/>
    </xf>
    <xf numFmtId="0" fontId="3" fillId="0" borderId="91" xfId="0" applyFont="1" applyFill="1" applyBorder="1" applyAlignment="1">
      <alignment horizontal="center" vertical="center" textRotation="90" wrapText="1"/>
    </xf>
    <xf numFmtId="49" fontId="3" fillId="0" borderId="37" xfId="0" applyNumberFormat="1" applyFont="1" applyFill="1" applyBorder="1" applyAlignment="1">
      <alignment horizontal="center" vertical="center" wrapText="1"/>
    </xf>
    <xf numFmtId="0" fontId="3" fillId="17" borderId="31" xfId="0" applyFont="1" applyFill="1"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54" xfId="0" applyBorder="1" applyAlignment="1">
      <alignment horizontal="center" vertical="center" wrapText="1"/>
    </xf>
    <xf numFmtId="0" fontId="28" fillId="21" borderId="85" xfId="247" applyFont="1" applyFill="1" applyBorder="1" applyAlignment="1" applyProtection="1">
      <alignment horizontal="center" vertical="center" shrinkToFit="1"/>
      <protection locked="0"/>
    </xf>
    <xf numFmtId="0" fontId="35" fillId="23" borderId="63" xfId="0" applyFont="1" applyFill="1" applyBorder="1" applyAlignment="1">
      <alignment horizontal="center" vertical="center" textRotation="90" wrapText="1"/>
    </xf>
    <xf numFmtId="0" fontId="35" fillId="23" borderId="75" xfId="0" applyFont="1" applyFill="1" applyBorder="1" applyAlignment="1">
      <alignment horizontal="center" vertical="center" textRotation="90" wrapText="1"/>
    </xf>
    <xf numFmtId="0" fontId="3" fillId="22" borderId="48" xfId="0" applyFont="1" applyFill="1" applyBorder="1" applyAlignment="1">
      <alignment horizontal="center" vertical="center" textRotation="90" wrapText="1"/>
    </xf>
    <xf numFmtId="0" fontId="3" fillId="22" borderId="47" xfId="0" applyFont="1" applyFill="1" applyBorder="1" applyAlignment="1">
      <alignment horizontal="center" vertical="center" textRotation="90" wrapText="1"/>
    </xf>
    <xf numFmtId="49" fontId="33" fillId="0" borderId="13" xfId="247" applyNumberFormat="1" applyFont="1" applyBorder="1" applyAlignment="1">
      <alignment horizontal="center" vertical="center" wrapText="1"/>
    </xf>
    <xf numFmtId="49" fontId="33" fillId="0" borderId="11" xfId="247" applyNumberFormat="1" applyFont="1" applyBorder="1" applyAlignment="1">
      <alignment horizontal="center" vertical="center" wrapText="1"/>
    </xf>
    <xf numFmtId="0" fontId="28" fillId="21" borderId="84" xfId="247" applyFont="1" applyFill="1" applyBorder="1" applyAlignment="1" applyProtection="1">
      <alignment horizontal="center" vertical="center" shrinkToFit="1"/>
      <protection locked="0"/>
    </xf>
    <xf numFmtId="0" fontId="3" fillId="23" borderId="86" xfId="0" applyFont="1" applyFill="1" applyBorder="1" applyAlignment="1">
      <alignment horizontal="center" vertical="center" textRotation="90" wrapText="1"/>
    </xf>
    <xf numFmtId="49" fontId="3" fillId="0" borderId="61" xfId="0" applyNumberFormat="1" applyFont="1" applyBorder="1" applyAlignment="1">
      <alignment horizontal="center" vertical="center" wrapText="1"/>
    </xf>
    <xf numFmtId="0" fontId="3" fillId="23" borderId="80" xfId="0" applyFont="1" applyFill="1" applyBorder="1" applyAlignment="1">
      <alignment horizontal="center" vertical="center" textRotation="90" wrapText="1"/>
    </xf>
    <xf numFmtId="0" fontId="3" fillId="17" borderId="32" xfId="0" applyFont="1" applyFill="1" applyBorder="1" applyAlignment="1">
      <alignment horizontal="center" vertical="center" wrapText="1"/>
    </xf>
    <xf numFmtId="0" fontId="3" fillId="17" borderId="33" xfId="0" applyFont="1" applyFill="1" applyBorder="1" applyAlignment="1">
      <alignment horizontal="center" vertical="center" wrapText="1"/>
    </xf>
    <xf numFmtId="49" fontId="34" fillId="0" borderId="12" xfId="0" applyNumberFormat="1" applyFont="1" applyBorder="1" applyAlignment="1">
      <alignment horizontal="center" vertical="center" wrapText="1"/>
    </xf>
    <xf numFmtId="49" fontId="3" fillId="0" borderId="12" xfId="0" applyNumberFormat="1" applyFont="1" applyFill="1" applyBorder="1" applyAlignment="1">
      <alignment horizontal="center" vertical="top" wrapText="1"/>
    </xf>
    <xf numFmtId="0" fontId="34" fillId="23" borderId="75" xfId="0" applyFont="1" applyFill="1" applyBorder="1" applyAlignment="1">
      <alignment horizontal="center" vertical="center" textRotation="90" wrapText="1"/>
    </xf>
    <xf numFmtId="0" fontId="34" fillId="23" borderId="25" xfId="0" applyFont="1" applyFill="1" applyBorder="1" applyAlignment="1">
      <alignment horizontal="center" vertical="center" textRotation="90" wrapText="1"/>
    </xf>
    <xf numFmtId="0" fontId="34" fillId="23" borderId="30" xfId="0" applyFont="1" applyFill="1" applyBorder="1" applyAlignment="1">
      <alignment horizontal="center" vertical="center" textRotation="90" wrapText="1"/>
    </xf>
    <xf numFmtId="0" fontId="34" fillId="23" borderId="47" xfId="0" applyFont="1" applyFill="1" applyBorder="1" applyAlignment="1">
      <alignment horizontal="center" vertical="center" textRotation="90" wrapText="1"/>
    </xf>
    <xf numFmtId="0" fontId="23" fillId="0" borderId="87" xfId="0" applyFont="1" applyBorder="1" applyAlignment="1">
      <alignment horizontal="center" wrapText="1"/>
    </xf>
    <xf numFmtId="0" fontId="23" fillId="0" borderId="11" xfId="0" applyFont="1" applyBorder="1" applyAlignment="1">
      <alignment horizontal="center" wrapText="1"/>
    </xf>
    <xf numFmtId="0" fontId="3" fillId="17" borderId="41" xfId="0" applyFont="1" applyFill="1" applyBorder="1" applyAlignment="1">
      <alignment horizontal="center" vertical="center" wrapText="1"/>
    </xf>
    <xf numFmtId="0" fontId="3" fillId="0" borderId="49" xfId="0" applyFont="1" applyFill="1" applyBorder="1" applyAlignment="1">
      <alignment horizontal="center" vertical="center" textRotation="90" shrinkToFit="1"/>
    </xf>
    <xf numFmtId="49" fontId="3" fillId="0" borderId="17" xfId="0" applyNumberFormat="1" applyFont="1" applyFill="1" applyBorder="1" applyAlignment="1">
      <alignment horizontal="center" vertical="top" wrapText="1"/>
    </xf>
    <xf numFmtId="0" fontId="34" fillId="23" borderId="19" xfId="0" applyFont="1" applyFill="1" applyBorder="1" applyAlignment="1">
      <alignment horizontal="center" vertical="center" textRotation="90" wrapText="1"/>
    </xf>
    <xf numFmtId="49" fontId="35" fillId="0" borderId="10" xfId="0" applyNumberFormat="1" applyFont="1" applyBorder="1" applyAlignment="1">
      <alignment horizontal="center" vertical="center" wrapText="1"/>
    </xf>
    <xf numFmtId="0" fontId="35" fillId="23" borderId="49" xfId="0" applyFont="1" applyFill="1" applyBorder="1" applyAlignment="1">
      <alignment horizontal="center" vertical="center" textRotation="90" wrapText="1"/>
    </xf>
    <xf numFmtId="0" fontId="35" fillId="23" borderId="48" xfId="0" applyFont="1" applyFill="1" applyBorder="1" applyAlignment="1">
      <alignment horizontal="center" vertical="center" textRotation="90" wrapText="1"/>
    </xf>
    <xf numFmtId="0" fontId="35" fillId="23" borderId="90" xfId="0" applyFont="1" applyFill="1" applyBorder="1" applyAlignment="1">
      <alignment horizontal="center" vertical="center" textRotation="90" wrapText="1"/>
    </xf>
    <xf numFmtId="0" fontId="35" fillId="23" borderId="30" xfId="0" applyFont="1" applyFill="1" applyBorder="1" applyAlignment="1">
      <alignment horizontal="center" vertical="center" textRotation="90" wrapText="1"/>
    </xf>
    <xf numFmtId="0" fontId="34" fillId="23" borderId="59" xfId="0" applyFont="1" applyFill="1" applyBorder="1" applyAlignment="1">
      <alignment horizontal="center" vertical="center" textRotation="90" wrapText="1"/>
    </xf>
    <xf numFmtId="0" fontId="34" fillId="23" borderId="28" xfId="0" applyFont="1" applyFill="1" applyBorder="1" applyAlignment="1">
      <alignment horizontal="center" vertical="center" textRotation="90" wrapText="1"/>
    </xf>
    <xf numFmtId="0" fontId="3" fillId="0" borderId="10" xfId="0" applyFont="1" applyBorder="1" applyAlignment="1">
      <alignment horizontal="center" vertical="center" textRotation="90" shrinkToFit="1"/>
    </xf>
    <xf numFmtId="0" fontId="3" fillId="0" borderId="13" xfId="0" applyFont="1" applyBorder="1" applyAlignment="1">
      <alignment horizontal="center" vertical="center" textRotation="90" shrinkToFit="1"/>
    </xf>
    <xf numFmtId="0" fontId="3" fillId="0" borderId="39" xfId="0" applyFont="1" applyFill="1" applyBorder="1" applyAlignment="1">
      <alignment horizontal="center" vertical="center" textRotation="90" shrinkToFit="1"/>
    </xf>
    <xf numFmtId="0" fontId="3" fillId="0" borderId="34" xfId="0" applyFont="1" applyFill="1" applyBorder="1" applyAlignment="1">
      <alignment horizontal="center" vertical="center" textRotation="90" shrinkToFit="1"/>
    </xf>
    <xf numFmtId="49" fontId="30" fillId="0" borderId="10" xfId="0" applyNumberFormat="1" applyFont="1" applyFill="1" applyBorder="1" applyAlignment="1">
      <alignment horizontal="center" vertical="center" wrapText="1"/>
    </xf>
    <xf numFmtId="49" fontId="30" fillId="0" borderId="37" xfId="0" applyNumberFormat="1" applyFont="1" applyFill="1" applyBorder="1" applyAlignment="1">
      <alignment horizontal="center" vertical="center" wrapText="1"/>
    </xf>
    <xf numFmtId="0" fontId="3" fillId="0" borderId="28" xfId="0" applyFont="1" applyFill="1" applyBorder="1" applyAlignment="1">
      <alignment horizontal="center" vertical="center" textRotation="90" wrapText="1"/>
    </xf>
    <xf numFmtId="0" fontId="3" fillId="0" borderId="36" xfId="0" applyFont="1" applyFill="1" applyBorder="1" applyAlignment="1">
      <alignment horizontal="center" vertical="center" textRotation="90" wrapText="1"/>
    </xf>
    <xf numFmtId="49" fontId="3" fillId="0" borderId="43" xfId="0" applyNumberFormat="1" applyFont="1" applyFill="1" applyBorder="1" applyAlignment="1">
      <alignment horizontal="center" vertical="center" wrapText="1"/>
    </xf>
    <xf numFmtId="0" fontId="34" fillId="23" borderId="48" xfId="0" applyFont="1" applyFill="1" applyBorder="1" applyAlignment="1">
      <alignment horizontal="center" vertical="center" textRotation="90" wrapText="1"/>
    </xf>
    <xf numFmtId="0" fontId="34" fillId="23" borderId="74" xfId="0" applyFont="1" applyFill="1" applyBorder="1" applyAlignment="1">
      <alignment horizontal="center" vertical="center" textRotation="90" wrapText="1"/>
    </xf>
    <xf numFmtId="49" fontId="3" fillId="0" borderId="81" xfId="0" applyNumberFormat="1" applyFont="1" applyBorder="1" applyAlignment="1">
      <alignment horizontal="center" vertical="center" wrapText="1"/>
    </xf>
    <xf numFmtId="0" fontId="3" fillId="24" borderId="28" xfId="0" applyFont="1" applyFill="1" applyBorder="1" applyAlignment="1">
      <alignment horizontal="center" vertical="center" textRotation="90" wrapText="1"/>
    </xf>
    <xf numFmtId="0" fontId="3" fillId="24" borderId="25" xfId="0" applyFont="1" applyFill="1" applyBorder="1" applyAlignment="1">
      <alignment horizontal="center" vertical="center" textRotation="90" wrapText="1"/>
    </xf>
    <xf numFmtId="0" fontId="3" fillId="0" borderId="25" xfId="0" applyFont="1" applyBorder="1" applyAlignment="1">
      <alignment horizontal="center" vertical="center" textRotation="90" shrinkToFit="1"/>
    </xf>
    <xf numFmtId="49" fontId="3" fillId="0" borderId="87" xfId="0" applyNumberFormat="1" applyFont="1" applyBorder="1" applyAlignment="1">
      <alignment horizontal="center" vertical="center" wrapText="1"/>
    </xf>
    <xf numFmtId="49" fontId="3" fillId="0" borderId="92" xfId="0" applyNumberFormat="1" applyFont="1" applyBorder="1" applyAlignment="1">
      <alignment horizontal="center" vertical="center" wrapText="1"/>
    </xf>
    <xf numFmtId="0" fontId="25" fillId="21" borderId="59" xfId="0" applyFont="1" applyFill="1" applyBorder="1" applyAlignment="1" applyProtection="1">
      <alignment horizontal="center" vertical="center" wrapText="1"/>
      <protection locked="0"/>
    </xf>
    <xf numFmtId="0" fontId="25" fillId="21" borderId="80" xfId="0" applyFont="1" applyFill="1" applyBorder="1" applyAlignment="1" applyProtection="1">
      <alignment horizontal="center" vertical="center" wrapText="1"/>
      <protection locked="0"/>
    </xf>
    <xf numFmtId="0" fontId="25" fillId="21" borderId="21" xfId="0" applyFont="1" applyFill="1" applyBorder="1" applyAlignment="1" applyProtection="1">
      <alignment horizontal="center" vertical="center" shrinkToFit="1"/>
      <protection locked="0"/>
    </xf>
    <xf numFmtId="0" fontId="25" fillId="21" borderId="38" xfId="0" applyFont="1" applyFill="1" applyBorder="1" applyAlignment="1" applyProtection="1">
      <alignment horizontal="center" vertical="center" shrinkToFit="1"/>
      <protection locked="0"/>
    </xf>
    <xf numFmtId="0" fontId="22" fillId="0" borderId="74" xfId="0" applyFont="1" applyFill="1" applyBorder="1" applyAlignment="1">
      <alignment horizontal="center" vertical="center" wrapText="1" shrinkToFit="1"/>
    </xf>
    <xf numFmtId="0" fontId="22" fillId="0" borderId="95" xfId="0" applyFont="1" applyFill="1" applyBorder="1" applyAlignment="1">
      <alignment horizontal="center" vertical="center" wrapText="1" shrinkToFit="1"/>
    </xf>
    <xf numFmtId="0" fontId="41" fillId="21" borderId="94" xfId="0" applyFont="1" applyFill="1" applyBorder="1" applyAlignment="1">
      <alignment horizontal="center" shrinkToFit="1"/>
    </xf>
    <xf numFmtId="0" fontId="41" fillId="21" borderId="96" xfId="0" applyFont="1" applyFill="1" applyBorder="1" applyAlignment="1">
      <alignment horizontal="center" shrinkToFit="1"/>
    </xf>
    <xf numFmtId="0" fontId="26" fillId="0" borderId="19" xfId="0" applyFont="1" applyBorder="1" applyAlignment="1">
      <alignment horizontal="center" vertical="center" wrapText="1"/>
    </xf>
    <xf numFmtId="0" fontId="26" fillId="0" borderId="2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27" xfId="0" applyFont="1" applyBorder="1" applyAlignment="1">
      <alignment horizontal="center" vertical="center" wrapText="1"/>
    </xf>
    <xf numFmtId="0" fontId="28" fillId="21" borderId="93" xfId="247" applyFont="1" applyFill="1" applyBorder="1" applyAlignment="1" applyProtection="1">
      <alignment horizontal="center" vertical="center" shrinkToFit="1"/>
      <protection locked="0"/>
    </xf>
    <xf numFmtId="0" fontId="28" fillId="21" borderId="94" xfId="247" applyFont="1" applyFill="1" applyBorder="1" applyAlignment="1" applyProtection="1">
      <alignment horizontal="center" vertical="center" shrinkToFit="1"/>
      <protection locked="0"/>
    </xf>
    <xf numFmtId="0" fontId="22" fillId="0" borderId="63" xfId="0" applyFont="1" applyBorder="1" applyAlignment="1">
      <alignment horizontal="center" vertical="center" wrapText="1"/>
    </xf>
    <xf numFmtId="0" fontId="22" fillId="0" borderId="7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25" xfId="0" applyFont="1" applyBorder="1" applyAlignment="1">
      <alignment horizontal="center" vertical="center" wrapText="1"/>
    </xf>
    <xf numFmtId="0" fontId="26" fillId="0" borderId="59" xfId="0" applyFont="1" applyBorder="1" applyAlignment="1">
      <alignment horizontal="center" vertical="center" wrapText="1"/>
    </xf>
    <xf numFmtId="0" fontId="27" fillId="0" borderId="21" xfId="0" applyFont="1" applyBorder="1" applyAlignment="1">
      <alignment horizontal="center" vertical="center" shrinkToFit="1"/>
    </xf>
    <xf numFmtId="0" fontId="27" fillId="0" borderId="27" xfId="0" applyFont="1" applyBorder="1" applyAlignment="1">
      <alignment horizontal="center" vertical="center" shrinkToFit="1"/>
    </xf>
    <xf numFmtId="0" fontId="0" fillId="26" borderId="0" xfId="0" applyFont="1" applyFill="1" applyAlignment="1">
      <alignment horizontal="center" vertical="center" wrapText="1"/>
    </xf>
  </cellXfs>
  <cellStyles count="376">
    <cellStyle name="20% - アクセント 1 2" xfId="1" xr:uid="{00000000-0005-0000-0000-000000000000}"/>
    <cellStyle name="20% - アクセント 1 3" xfId="2" xr:uid="{00000000-0005-0000-0000-000001000000}"/>
    <cellStyle name="20% - アクセント 1 4" xfId="3" xr:uid="{00000000-0005-0000-0000-000002000000}"/>
    <cellStyle name="20% - アクセント 1 5" xfId="4" xr:uid="{00000000-0005-0000-0000-000003000000}"/>
    <cellStyle name="20% - アクセント 1 6" xfId="5" xr:uid="{00000000-0005-0000-0000-000004000000}"/>
    <cellStyle name="20% - アクセント 1 7" xfId="6" xr:uid="{00000000-0005-0000-0000-000005000000}"/>
    <cellStyle name="20% - アクセント 2 2" xfId="7" xr:uid="{00000000-0005-0000-0000-000006000000}"/>
    <cellStyle name="20% - アクセント 2 3" xfId="8" xr:uid="{00000000-0005-0000-0000-000007000000}"/>
    <cellStyle name="20% - アクセント 2 4" xfId="9" xr:uid="{00000000-0005-0000-0000-000008000000}"/>
    <cellStyle name="20% - アクセント 2 5" xfId="10" xr:uid="{00000000-0005-0000-0000-000009000000}"/>
    <cellStyle name="20% - アクセント 2 6" xfId="11" xr:uid="{00000000-0005-0000-0000-00000A000000}"/>
    <cellStyle name="20% - アクセント 2 7" xfId="12" xr:uid="{00000000-0005-0000-0000-00000B000000}"/>
    <cellStyle name="20% - アクセント 3 2" xfId="13" xr:uid="{00000000-0005-0000-0000-00000C000000}"/>
    <cellStyle name="20% - アクセント 3 3" xfId="14" xr:uid="{00000000-0005-0000-0000-00000D000000}"/>
    <cellStyle name="20% - アクセント 3 4" xfId="15" xr:uid="{00000000-0005-0000-0000-00000E000000}"/>
    <cellStyle name="20% - アクセント 3 5" xfId="16" xr:uid="{00000000-0005-0000-0000-00000F000000}"/>
    <cellStyle name="20% - アクセント 3 6" xfId="17" xr:uid="{00000000-0005-0000-0000-000010000000}"/>
    <cellStyle name="20% - アクセント 3 7" xfId="18" xr:uid="{00000000-0005-0000-0000-000011000000}"/>
    <cellStyle name="20% - アクセント 4 2" xfId="19" xr:uid="{00000000-0005-0000-0000-000012000000}"/>
    <cellStyle name="20% - アクセント 4 3" xfId="20" xr:uid="{00000000-0005-0000-0000-000013000000}"/>
    <cellStyle name="20% - アクセント 4 4" xfId="21" xr:uid="{00000000-0005-0000-0000-000014000000}"/>
    <cellStyle name="20% - アクセント 4 5" xfId="22" xr:uid="{00000000-0005-0000-0000-000015000000}"/>
    <cellStyle name="20% - アクセント 4 6" xfId="23" xr:uid="{00000000-0005-0000-0000-000016000000}"/>
    <cellStyle name="20% - アクセント 4 7" xfId="24" xr:uid="{00000000-0005-0000-0000-000017000000}"/>
    <cellStyle name="20% - アクセント 5 2" xfId="25" xr:uid="{00000000-0005-0000-0000-000018000000}"/>
    <cellStyle name="20% - アクセント 5 3" xfId="26" xr:uid="{00000000-0005-0000-0000-000019000000}"/>
    <cellStyle name="20% - アクセント 5 4" xfId="27" xr:uid="{00000000-0005-0000-0000-00001A000000}"/>
    <cellStyle name="20% - アクセント 5 5" xfId="28" xr:uid="{00000000-0005-0000-0000-00001B000000}"/>
    <cellStyle name="20% - アクセント 5 6" xfId="29" xr:uid="{00000000-0005-0000-0000-00001C000000}"/>
    <cellStyle name="20% - アクセント 5 7" xfId="30" xr:uid="{00000000-0005-0000-0000-00001D000000}"/>
    <cellStyle name="20% - アクセント 6 2" xfId="31" xr:uid="{00000000-0005-0000-0000-00001E000000}"/>
    <cellStyle name="20% - アクセント 6 3" xfId="32" xr:uid="{00000000-0005-0000-0000-00001F000000}"/>
    <cellStyle name="20% - アクセント 6 4" xfId="33" xr:uid="{00000000-0005-0000-0000-000020000000}"/>
    <cellStyle name="20% - アクセント 6 5" xfId="34" xr:uid="{00000000-0005-0000-0000-000021000000}"/>
    <cellStyle name="20% - アクセント 6 6" xfId="35" xr:uid="{00000000-0005-0000-0000-000022000000}"/>
    <cellStyle name="20% - アクセント 6 7" xfId="36" xr:uid="{00000000-0005-0000-0000-000023000000}"/>
    <cellStyle name="40% - アクセント 1 2" xfId="37" xr:uid="{00000000-0005-0000-0000-000024000000}"/>
    <cellStyle name="40% - アクセント 1 3" xfId="38" xr:uid="{00000000-0005-0000-0000-000025000000}"/>
    <cellStyle name="40% - アクセント 1 4" xfId="39" xr:uid="{00000000-0005-0000-0000-000026000000}"/>
    <cellStyle name="40% - アクセント 1 5" xfId="40" xr:uid="{00000000-0005-0000-0000-000027000000}"/>
    <cellStyle name="40% - アクセント 1 6" xfId="41" xr:uid="{00000000-0005-0000-0000-000028000000}"/>
    <cellStyle name="40% - アクセント 1 7" xfId="42" xr:uid="{00000000-0005-0000-0000-000029000000}"/>
    <cellStyle name="40% - アクセント 2 2" xfId="43" xr:uid="{00000000-0005-0000-0000-00002A000000}"/>
    <cellStyle name="40% - アクセント 2 3" xfId="44" xr:uid="{00000000-0005-0000-0000-00002B000000}"/>
    <cellStyle name="40% - アクセント 2 4" xfId="45" xr:uid="{00000000-0005-0000-0000-00002C000000}"/>
    <cellStyle name="40% - アクセント 2 5" xfId="46" xr:uid="{00000000-0005-0000-0000-00002D000000}"/>
    <cellStyle name="40% - アクセント 2 6" xfId="47" xr:uid="{00000000-0005-0000-0000-00002E000000}"/>
    <cellStyle name="40% - アクセント 2 7" xfId="48" xr:uid="{00000000-0005-0000-0000-00002F000000}"/>
    <cellStyle name="40% - アクセント 3 2" xfId="49" xr:uid="{00000000-0005-0000-0000-000030000000}"/>
    <cellStyle name="40% - アクセント 3 3" xfId="50" xr:uid="{00000000-0005-0000-0000-000031000000}"/>
    <cellStyle name="40% - アクセント 3 4" xfId="51" xr:uid="{00000000-0005-0000-0000-000032000000}"/>
    <cellStyle name="40% - アクセント 3 5" xfId="52" xr:uid="{00000000-0005-0000-0000-000033000000}"/>
    <cellStyle name="40% - アクセント 3 6" xfId="53" xr:uid="{00000000-0005-0000-0000-000034000000}"/>
    <cellStyle name="40% - アクセント 3 7" xfId="54" xr:uid="{00000000-0005-0000-0000-000035000000}"/>
    <cellStyle name="40% - アクセント 4 2" xfId="55" xr:uid="{00000000-0005-0000-0000-000036000000}"/>
    <cellStyle name="40% - アクセント 4 3" xfId="56" xr:uid="{00000000-0005-0000-0000-000037000000}"/>
    <cellStyle name="40% - アクセント 4 4" xfId="57" xr:uid="{00000000-0005-0000-0000-000038000000}"/>
    <cellStyle name="40% - アクセント 4 5" xfId="58" xr:uid="{00000000-0005-0000-0000-000039000000}"/>
    <cellStyle name="40% - アクセント 4 6" xfId="59" xr:uid="{00000000-0005-0000-0000-00003A000000}"/>
    <cellStyle name="40% - アクセント 4 7" xfId="60" xr:uid="{00000000-0005-0000-0000-00003B000000}"/>
    <cellStyle name="40% - アクセント 5 2" xfId="61" xr:uid="{00000000-0005-0000-0000-00003C000000}"/>
    <cellStyle name="40% - アクセント 5 3" xfId="62" xr:uid="{00000000-0005-0000-0000-00003D000000}"/>
    <cellStyle name="40% - アクセント 5 4" xfId="63" xr:uid="{00000000-0005-0000-0000-00003E000000}"/>
    <cellStyle name="40% - アクセント 5 5" xfId="64" xr:uid="{00000000-0005-0000-0000-00003F000000}"/>
    <cellStyle name="40% - アクセント 5 6" xfId="65" xr:uid="{00000000-0005-0000-0000-000040000000}"/>
    <cellStyle name="40% - アクセント 5 7" xfId="66" xr:uid="{00000000-0005-0000-0000-000041000000}"/>
    <cellStyle name="40% - アクセント 6 2" xfId="67" xr:uid="{00000000-0005-0000-0000-000042000000}"/>
    <cellStyle name="40% - アクセント 6 3" xfId="68" xr:uid="{00000000-0005-0000-0000-000043000000}"/>
    <cellStyle name="40% - アクセント 6 4" xfId="69" xr:uid="{00000000-0005-0000-0000-000044000000}"/>
    <cellStyle name="40% - アクセント 6 5" xfId="70" xr:uid="{00000000-0005-0000-0000-000045000000}"/>
    <cellStyle name="40% - アクセント 6 6" xfId="71" xr:uid="{00000000-0005-0000-0000-000046000000}"/>
    <cellStyle name="40% - アクセント 6 7" xfId="72" xr:uid="{00000000-0005-0000-0000-000047000000}"/>
    <cellStyle name="60% - アクセント 1 2" xfId="73" xr:uid="{00000000-0005-0000-0000-000048000000}"/>
    <cellStyle name="60% - アクセント 1 3" xfId="74" xr:uid="{00000000-0005-0000-0000-000049000000}"/>
    <cellStyle name="60% - アクセント 1 4" xfId="75" xr:uid="{00000000-0005-0000-0000-00004A000000}"/>
    <cellStyle name="60% - アクセント 1 5" xfId="76" xr:uid="{00000000-0005-0000-0000-00004B000000}"/>
    <cellStyle name="60% - アクセント 1 6" xfId="77" xr:uid="{00000000-0005-0000-0000-00004C000000}"/>
    <cellStyle name="60% - アクセント 1 7" xfId="78" xr:uid="{00000000-0005-0000-0000-00004D000000}"/>
    <cellStyle name="60% - アクセント 2 2" xfId="79" xr:uid="{00000000-0005-0000-0000-00004E000000}"/>
    <cellStyle name="60% - アクセント 2 3" xfId="80" xr:uid="{00000000-0005-0000-0000-00004F000000}"/>
    <cellStyle name="60% - アクセント 2 4" xfId="81" xr:uid="{00000000-0005-0000-0000-000050000000}"/>
    <cellStyle name="60% - アクセント 2 5" xfId="82" xr:uid="{00000000-0005-0000-0000-000051000000}"/>
    <cellStyle name="60% - アクセント 2 6" xfId="83" xr:uid="{00000000-0005-0000-0000-000052000000}"/>
    <cellStyle name="60% - アクセント 2 7" xfId="84" xr:uid="{00000000-0005-0000-0000-000053000000}"/>
    <cellStyle name="60% - アクセント 3 2" xfId="85" xr:uid="{00000000-0005-0000-0000-000054000000}"/>
    <cellStyle name="60% - アクセント 3 3" xfId="86" xr:uid="{00000000-0005-0000-0000-000055000000}"/>
    <cellStyle name="60% - アクセント 3 4" xfId="87" xr:uid="{00000000-0005-0000-0000-000056000000}"/>
    <cellStyle name="60% - アクセント 3 5" xfId="88" xr:uid="{00000000-0005-0000-0000-000057000000}"/>
    <cellStyle name="60% - アクセント 3 6" xfId="89" xr:uid="{00000000-0005-0000-0000-000058000000}"/>
    <cellStyle name="60% - アクセント 3 7" xfId="90" xr:uid="{00000000-0005-0000-0000-000059000000}"/>
    <cellStyle name="60% - アクセント 4 2" xfId="91" xr:uid="{00000000-0005-0000-0000-00005A000000}"/>
    <cellStyle name="60% - アクセント 4 3" xfId="92" xr:uid="{00000000-0005-0000-0000-00005B000000}"/>
    <cellStyle name="60% - アクセント 4 4" xfId="93" xr:uid="{00000000-0005-0000-0000-00005C000000}"/>
    <cellStyle name="60% - アクセント 4 5" xfId="94" xr:uid="{00000000-0005-0000-0000-00005D000000}"/>
    <cellStyle name="60% - アクセント 4 6" xfId="95" xr:uid="{00000000-0005-0000-0000-00005E000000}"/>
    <cellStyle name="60% - アクセント 4 7" xfId="96" xr:uid="{00000000-0005-0000-0000-00005F000000}"/>
    <cellStyle name="60% - アクセント 5 2" xfId="97" xr:uid="{00000000-0005-0000-0000-000060000000}"/>
    <cellStyle name="60% - アクセント 5 3" xfId="98" xr:uid="{00000000-0005-0000-0000-000061000000}"/>
    <cellStyle name="60% - アクセント 5 4" xfId="99" xr:uid="{00000000-0005-0000-0000-000062000000}"/>
    <cellStyle name="60% - アクセント 5 5" xfId="100" xr:uid="{00000000-0005-0000-0000-000063000000}"/>
    <cellStyle name="60% - アクセント 5 6" xfId="101" xr:uid="{00000000-0005-0000-0000-000064000000}"/>
    <cellStyle name="60% - アクセント 5 7" xfId="102" xr:uid="{00000000-0005-0000-0000-000065000000}"/>
    <cellStyle name="60% - アクセント 6 2" xfId="103" xr:uid="{00000000-0005-0000-0000-000066000000}"/>
    <cellStyle name="60% - アクセント 6 3" xfId="104" xr:uid="{00000000-0005-0000-0000-000067000000}"/>
    <cellStyle name="60% - アクセント 6 4" xfId="105" xr:uid="{00000000-0005-0000-0000-000068000000}"/>
    <cellStyle name="60% - アクセント 6 5" xfId="106" xr:uid="{00000000-0005-0000-0000-000069000000}"/>
    <cellStyle name="60% - アクセント 6 6" xfId="107" xr:uid="{00000000-0005-0000-0000-00006A000000}"/>
    <cellStyle name="60% - アクセント 6 7" xfId="108" xr:uid="{00000000-0005-0000-0000-00006B000000}"/>
    <cellStyle name="アクセント 1 2" xfId="109" xr:uid="{00000000-0005-0000-0000-00006C000000}"/>
    <cellStyle name="アクセント 1 3" xfId="110" xr:uid="{00000000-0005-0000-0000-00006D000000}"/>
    <cellStyle name="アクセント 1 4" xfId="111" xr:uid="{00000000-0005-0000-0000-00006E000000}"/>
    <cellStyle name="アクセント 1 5" xfId="112" xr:uid="{00000000-0005-0000-0000-00006F000000}"/>
    <cellStyle name="アクセント 1 6" xfId="113" xr:uid="{00000000-0005-0000-0000-000070000000}"/>
    <cellStyle name="アクセント 1 7" xfId="114" xr:uid="{00000000-0005-0000-0000-000071000000}"/>
    <cellStyle name="アクセント 2 2" xfId="115" xr:uid="{00000000-0005-0000-0000-000072000000}"/>
    <cellStyle name="アクセント 2 3" xfId="116" xr:uid="{00000000-0005-0000-0000-000073000000}"/>
    <cellStyle name="アクセント 2 4" xfId="117" xr:uid="{00000000-0005-0000-0000-000074000000}"/>
    <cellStyle name="アクセント 2 5" xfId="118" xr:uid="{00000000-0005-0000-0000-000075000000}"/>
    <cellStyle name="アクセント 2 6" xfId="119" xr:uid="{00000000-0005-0000-0000-000076000000}"/>
    <cellStyle name="アクセント 2 7" xfId="120" xr:uid="{00000000-0005-0000-0000-000077000000}"/>
    <cellStyle name="アクセント 3 2" xfId="121" xr:uid="{00000000-0005-0000-0000-000078000000}"/>
    <cellStyle name="アクセント 3 3" xfId="122" xr:uid="{00000000-0005-0000-0000-000079000000}"/>
    <cellStyle name="アクセント 3 4" xfId="123" xr:uid="{00000000-0005-0000-0000-00007A000000}"/>
    <cellStyle name="アクセント 3 5" xfId="124" xr:uid="{00000000-0005-0000-0000-00007B000000}"/>
    <cellStyle name="アクセント 3 6" xfId="125" xr:uid="{00000000-0005-0000-0000-00007C000000}"/>
    <cellStyle name="アクセント 3 7" xfId="126" xr:uid="{00000000-0005-0000-0000-00007D000000}"/>
    <cellStyle name="アクセント 4 2" xfId="127" xr:uid="{00000000-0005-0000-0000-00007E000000}"/>
    <cellStyle name="アクセント 4 3" xfId="128" xr:uid="{00000000-0005-0000-0000-00007F000000}"/>
    <cellStyle name="アクセント 4 4" xfId="129" xr:uid="{00000000-0005-0000-0000-000080000000}"/>
    <cellStyle name="アクセント 4 5" xfId="130" xr:uid="{00000000-0005-0000-0000-000081000000}"/>
    <cellStyle name="アクセント 4 6" xfId="131" xr:uid="{00000000-0005-0000-0000-000082000000}"/>
    <cellStyle name="アクセント 4 7" xfId="132" xr:uid="{00000000-0005-0000-0000-000083000000}"/>
    <cellStyle name="アクセント 5 2" xfId="133" xr:uid="{00000000-0005-0000-0000-000084000000}"/>
    <cellStyle name="アクセント 5 3" xfId="134" xr:uid="{00000000-0005-0000-0000-000085000000}"/>
    <cellStyle name="アクセント 5 4" xfId="135" xr:uid="{00000000-0005-0000-0000-000086000000}"/>
    <cellStyle name="アクセント 5 5" xfId="136" xr:uid="{00000000-0005-0000-0000-000087000000}"/>
    <cellStyle name="アクセント 5 6" xfId="137" xr:uid="{00000000-0005-0000-0000-000088000000}"/>
    <cellStyle name="アクセント 5 7" xfId="138" xr:uid="{00000000-0005-0000-0000-000089000000}"/>
    <cellStyle name="アクセント 6 2" xfId="139" xr:uid="{00000000-0005-0000-0000-00008A000000}"/>
    <cellStyle name="アクセント 6 3" xfId="140" xr:uid="{00000000-0005-0000-0000-00008B000000}"/>
    <cellStyle name="アクセント 6 4" xfId="141" xr:uid="{00000000-0005-0000-0000-00008C000000}"/>
    <cellStyle name="アクセント 6 5" xfId="142" xr:uid="{00000000-0005-0000-0000-00008D000000}"/>
    <cellStyle name="アクセント 6 6" xfId="143" xr:uid="{00000000-0005-0000-0000-00008E000000}"/>
    <cellStyle name="アクセント 6 7" xfId="144" xr:uid="{00000000-0005-0000-0000-00008F000000}"/>
    <cellStyle name="タイトル 2" xfId="145" xr:uid="{00000000-0005-0000-0000-000090000000}"/>
    <cellStyle name="タイトル 3" xfId="146" xr:uid="{00000000-0005-0000-0000-000091000000}"/>
    <cellStyle name="タイトル 4" xfId="147" xr:uid="{00000000-0005-0000-0000-000092000000}"/>
    <cellStyle name="タイトル 5" xfId="148" xr:uid="{00000000-0005-0000-0000-000093000000}"/>
    <cellStyle name="タイトル 6" xfId="149" xr:uid="{00000000-0005-0000-0000-000094000000}"/>
    <cellStyle name="タイトル 7" xfId="150" xr:uid="{00000000-0005-0000-0000-000095000000}"/>
    <cellStyle name="チェック セル 2" xfId="151" xr:uid="{00000000-0005-0000-0000-000096000000}"/>
    <cellStyle name="チェック セル 3" xfId="152" xr:uid="{00000000-0005-0000-0000-000097000000}"/>
    <cellStyle name="チェック セル 4" xfId="153" xr:uid="{00000000-0005-0000-0000-000098000000}"/>
    <cellStyle name="チェック セル 5" xfId="154" xr:uid="{00000000-0005-0000-0000-000099000000}"/>
    <cellStyle name="チェック セル 6" xfId="155" xr:uid="{00000000-0005-0000-0000-00009A000000}"/>
    <cellStyle name="チェック セル 7" xfId="156" xr:uid="{00000000-0005-0000-0000-00009B000000}"/>
    <cellStyle name="どちらでもない 2" xfId="157" xr:uid="{00000000-0005-0000-0000-00009C000000}"/>
    <cellStyle name="どちらでもない 3" xfId="158" xr:uid="{00000000-0005-0000-0000-00009D000000}"/>
    <cellStyle name="どちらでもない 4" xfId="159" xr:uid="{00000000-0005-0000-0000-00009E000000}"/>
    <cellStyle name="どちらでもない 5" xfId="160" xr:uid="{00000000-0005-0000-0000-00009F000000}"/>
    <cellStyle name="どちらでもない 6" xfId="161" xr:uid="{00000000-0005-0000-0000-0000A0000000}"/>
    <cellStyle name="どちらでもない 7" xfId="162" xr:uid="{00000000-0005-0000-0000-0000A1000000}"/>
    <cellStyle name="ハイパーリンク" xfId="248" builtinId="8"/>
    <cellStyle name="メモ 2" xfId="163" xr:uid="{00000000-0005-0000-0000-0000A3000000}"/>
    <cellStyle name="メモ 2 2" xfId="281" xr:uid="{A180BB95-0AF1-490A-AFF9-6D7975B08102}"/>
    <cellStyle name="メモ 2 2 2" xfId="333" xr:uid="{18395929-36C2-4F9E-914D-9BBAAA0061DA}"/>
    <cellStyle name="メモ 2 3" xfId="273" xr:uid="{B70403AC-94B6-4CFA-902D-9C8697D19919}"/>
    <cellStyle name="メモ 3" xfId="164" xr:uid="{00000000-0005-0000-0000-0000A4000000}"/>
    <cellStyle name="メモ 3 2" xfId="282" xr:uid="{5F21C011-EB9F-48E2-A137-1282F5967939}"/>
    <cellStyle name="メモ 3 2 2" xfId="334" xr:uid="{77B764C0-505A-41CF-91AC-2F1BDF428731}"/>
    <cellStyle name="メモ 3 3" xfId="272" xr:uid="{8DB27D58-5BFF-48AE-B14C-DE00BFD12EB0}"/>
    <cellStyle name="メモ 4" xfId="165" xr:uid="{00000000-0005-0000-0000-0000A5000000}"/>
    <cellStyle name="メモ 4 2" xfId="283" xr:uid="{91F0A4E9-25B9-494E-8C46-BBCC2726A0EF}"/>
    <cellStyle name="メモ 4 2 2" xfId="335" xr:uid="{0D0AA8E7-19FF-4D7B-A1BF-918E5948AA9C}"/>
    <cellStyle name="メモ 4 3" xfId="271" xr:uid="{E7C08B7D-FAE5-4088-B028-DB74F28D0FF6}"/>
    <cellStyle name="メモ 5" xfId="166" xr:uid="{00000000-0005-0000-0000-0000A6000000}"/>
    <cellStyle name="メモ 5 2" xfId="284" xr:uid="{2A2CDE27-ABC3-42F3-92D3-9DB7588C5682}"/>
    <cellStyle name="メモ 5 2 2" xfId="336" xr:uid="{DEC77EC3-394D-4569-BD55-A7403BA89663}"/>
    <cellStyle name="メモ 5 3" xfId="270" xr:uid="{1E1AAF7D-09E8-4990-8F85-B13257ACFE8B}"/>
    <cellStyle name="メモ 6" xfId="167" xr:uid="{00000000-0005-0000-0000-0000A7000000}"/>
    <cellStyle name="メモ 6 2" xfId="285" xr:uid="{2ACEBDBC-924D-458C-8DA6-C287EA197BB3}"/>
    <cellStyle name="メモ 6 2 2" xfId="337" xr:uid="{8043546E-7364-4A41-826E-BC48363670AB}"/>
    <cellStyle name="メモ 6 3" xfId="269" xr:uid="{BBFF8622-AD4A-4871-B70F-3E62C947AA2F}"/>
    <cellStyle name="メモ 7" xfId="168" xr:uid="{00000000-0005-0000-0000-0000A8000000}"/>
    <cellStyle name="メモ 7 2" xfId="286" xr:uid="{111FB460-1D4C-415D-8678-229DF9B4BAD9}"/>
    <cellStyle name="メモ 7 2 2" xfId="338" xr:uid="{07C46377-E164-4BA3-9902-897089396EE3}"/>
    <cellStyle name="メモ 7 3" xfId="268" xr:uid="{C5F51CED-39C1-48BF-AFD7-F2917FFA79C3}"/>
    <cellStyle name="リンク セル 2" xfId="169" xr:uid="{00000000-0005-0000-0000-0000A9000000}"/>
    <cellStyle name="リンク セル 3" xfId="170" xr:uid="{00000000-0005-0000-0000-0000AA000000}"/>
    <cellStyle name="リンク セル 4" xfId="171" xr:uid="{00000000-0005-0000-0000-0000AB000000}"/>
    <cellStyle name="リンク セル 5" xfId="172" xr:uid="{00000000-0005-0000-0000-0000AC000000}"/>
    <cellStyle name="リンク セル 6" xfId="173" xr:uid="{00000000-0005-0000-0000-0000AD000000}"/>
    <cellStyle name="リンク セル 7" xfId="174" xr:uid="{00000000-0005-0000-0000-0000AE000000}"/>
    <cellStyle name="悪い 2" xfId="175" xr:uid="{00000000-0005-0000-0000-0000B0000000}"/>
    <cellStyle name="悪い 3" xfId="176" xr:uid="{00000000-0005-0000-0000-0000B1000000}"/>
    <cellStyle name="悪い 4" xfId="177" xr:uid="{00000000-0005-0000-0000-0000B2000000}"/>
    <cellStyle name="悪い 5" xfId="178" xr:uid="{00000000-0005-0000-0000-0000B3000000}"/>
    <cellStyle name="悪い 6" xfId="179" xr:uid="{00000000-0005-0000-0000-0000B4000000}"/>
    <cellStyle name="悪い 7" xfId="180" xr:uid="{00000000-0005-0000-0000-0000B5000000}"/>
    <cellStyle name="計算 2" xfId="181" xr:uid="{00000000-0005-0000-0000-0000B6000000}"/>
    <cellStyle name="計算 2 2" xfId="287" xr:uid="{28716B6A-37EE-4034-A3FE-3EDCE1B3FDBC}"/>
    <cellStyle name="計算 2 2 2" xfId="339" xr:uid="{2616A2CF-6299-4737-A7F5-18F4477F284E}"/>
    <cellStyle name="計算 2 3" xfId="265" xr:uid="{913C739E-243F-47B3-8BC3-8FDD55BADCEB}"/>
    <cellStyle name="計算 3" xfId="182" xr:uid="{00000000-0005-0000-0000-0000B7000000}"/>
    <cellStyle name="計算 3 2" xfId="288" xr:uid="{83F03EAD-4616-4FFE-9C20-FCAAB519160B}"/>
    <cellStyle name="計算 3 2 2" xfId="340" xr:uid="{D07D9F05-AEEC-4A2A-A778-476AB9DF3D0B}"/>
    <cellStyle name="計算 3 3" xfId="264" xr:uid="{CF0017A8-0130-4662-BB13-30CE0DC52B74}"/>
    <cellStyle name="計算 4" xfId="183" xr:uid="{00000000-0005-0000-0000-0000B8000000}"/>
    <cellStyle name="計算 4 2" xfId="289" xr:uid="{0C47E2DB-67DE-4AAF-9636-5DB6ECA51C63}"/>
    <cellStyle name="計算 4 2 2" xfId="341" xr:uid="{E5C0263A-D446-43DB-B196-A72794F18257}"/>
    <cellStyle name="計算 4 3" xfId="263" xr:uid="{73C310F5-CD3F-4FA2-B969-8D082D50C423}"/>
    <cellStyle name="計算 5" xfId="184" xr:uid="{00000000-0005-0000-0000-0000B9000000}"/>
    <cellStyle name="計算 5 2" xfId="290" xr:uid="{83B81514-E64F-4B37-A3E0-C20690021BD5}"/>
    <cellStyle name="計算 5 2 2" xfId="342" xr:uid="{1C82744D-FA17-4EF5-AEC8-B80F30DBFBDE}"/>
    <cellStyle name="計算 5 3" xfId="262" xr:uid="{3C663D57-9B11-4F7E-A8F7-81E128F2A208}"/>
    <cellStyle name="計算 6" xfId="185" xr:uid="{00000000-0005-0000-0000-0000BA000000}"/>
    <cellStyle name="計算 6 2" xfId="291" xr:uid="{50E957AD-4021-41F5-8ED0-904F27108C44}"/>
    <cellStyle name="計算 6 2 2" xfId="343" xr:uid="{5ADC5647-035E-4B17-B901-C8E08A55FB83}"/>
    <cellStyle name="計算 6 3" xfId="261" xr:uid="{5C5E892E-3B26-40EC-8010-74B2C01C0E1F}"/>
    <cellStyle name="計算 7" xfId="186" xr:uid="{00000000-0005-0000-0000-0000BB000000}"/>
    <cellStyle name="計算 7 2" xfId="292" xr:uid="{442B3038-E854-44CF-90E7-5DBECCA3BA34}"/>
    <cellStyle name="計算 7 2 2" xfId="344" xr:uid="{64CF7F0E-D84F-4C2B-A158-CCBBBA7D1A87}"/>
    <cellStyle name="計算 7 3" xfId="260" xr:uid="{8417FF4F-8422-47F0-B5CD-B7B255CF6F4D}"/>
    <cellStyle name="警告文 2" xfId="187" xr:uid="{00000000-0005-0000-0000-0000BC000000}"/>
    <cellStyle name="警告文 3" xfId="188" xr:uid="{00000000-0005-0000-0000-0000BD000000}"/>
    <cellStyle name="警告文 4" xfId="189" xr:uid="{00000000-0005-0000-0000-0000BE000000}"/>
    <cellStyle name="警告文 5" xfId="190" xr:uid="{00000000-0005-0000-0000-0000BF000000}"/>
    <cellStyle name="警告文 6" xfId="191" xr:uid="{00000000-0005-0000-0000-0000C0000000}"/>
    <cellStyle name="警告文 7" xfId="192" xr:uid="{00000000-0005-0000-0000-0000C1000000}"/>
    <cellStyle name="桁区切り" xfId="375" builtinId="6"/>
    <cellStyle name="見出し 1 2" xfId="193" xr:uid="{00000000-0005-0000-0000-0000C2000000}"/>
    <cellStyle name="見出し 1 3" xfId="194" xr:uid="{00000000-0005-0000-0000-0000C3000000}"/>
    <cellStyle name="見出し 1 4" xfId="195" xr:uid="{00000000-0005-0000-0000-0000C4000000}"/>
    <cellStyle name="見出し 1 5" xfId="196" xr:uid="{00000000-0005-0000-0000-0000C5000000}"/>
    <cellStyle name="見出し 1 6" xfId="197" xr:uid="{00000000-0005-0000-0000-0000C6000000}"/>
    <cellStyle name="見出し 1 7" xfId="198" xr:uid="{00000000-0005-0000-0000-0000C7000000}"/>
    <cellStyle name="見出し 2 2" xfId="199" xr:uid="{00000000-0005-0000-0000-0000C8000000}"/>
    <cellStyle name="見出し 2 3" xfId="200" xr:uid="{00000000-0005-0000-0000-0000C9000000}"/>
    <cellStyle name="見出し 2 4" xfId="201" xr:uid="{00000000-0005-0000-0000-0000CA000000}"/>
    <cellStyle name="見出し 2 5" xfId="202" xr:uid="{00000000-0005-0000-0000-0000CB000000}"/>
    <cellStyle name="見出し 2 6" xfId="203" xr:uid="{00000000-0005-0000-0000-0000CC000000}"/>
    <cellStyle name="見出し 2 7" xfId="204" xr:uid="{00000000-0005-0000-0000-0000CD000000}"/>
    <cellStyle name="見出し 3 2" xfId="205" xr:uid="{00000000-0005-0000-0000-0000CE000000}"/>
    <cellStyle name="見出し 3 2 2" xfId="256" xr:uid="{6EACE8C7-6CB1-4B6D-8B99-9E947FD69160}"/>
    <cellStyle name="見出し 3 2 2 2" xfId="368" xr:uid="{B0AC6A73-CB6B-4BA1-B4D8-D4AAF2540C9F}"/>
    <cellStyle name="見出し 3 2 2 2 2" xfId="374" xr:uid="{16E455CC-98B8-4CCA-A2C4-EFA9B7852BF7}"/>
    <cellStyle name="見出し 3 2 2 3" xfId="274" xr:uid="{E0D1EFE3-BC77-441A-9181-9FD79A2DC6AA}"/>
    <cellStyle name="見出し 3 2 3" xfId="305" xr:uid="{CAEF7653-D8DC-4163-ACAB-BE96323434DB}"/>
    <cellStyle name="見出し 3 2 3 2" xfId="267" xr:uid="{A3B40FE6-E48B-4B63-91F3-0A1B4C14B6B2}"/>
    <cellStyle name="見出し 3 3" xfId="206" xr:uid="{00000000-0005-0000-0000-0000CF000000}"/>
    <cellStyle name="見出し 3 3 2" xfId="255" xr:uid="{46CB3D42-6997-47E0-B24F-68B9B9DA4448}"/>
    <cellStyle name="見出し 3 3 2 2" xfId="367" xr:uid="{005443A8-9763-4B92-AE9E-34DB8077CD02}"/>
    <cellStyle name="見出し 3 3 2 2 2" xfId="373" xr:uid="{EAEA0739-E3D3-4969-B0DC-07EC7BAFE68B}"/>
    <cellStyle name="見出し 3 3 2 3" xfId="275" xr:uid="{BDF903B5-58CA-46E9-ADAA-3E022ED63073}"/>
    <cellStyle name="見出し 3 3 3" xfId="306" xr:uid="{7C5F2D37-A06E-4E4D-B5B3-BA46DC0BDC55}"/>
    <cellStyle name="見出し 3 3 3 2" xfId="266" xr:uid="{0C097BE4-225F-4402-9B38-58FE79F87B86}"/>
    <cellStyle name="見出し 3 4" xfId="207" xr:uid="{00000000-0005-0000-0000-0000D0000000}"/>
    <cellStyle name="見出し 3 4 2" xfId="254" xr:uid="{C46717E5-5B0F-427F-A1EB-40CA25AEDC91}"/>
    <cellStyle name="見出し 3 4 2 2" xfId="366" xr:uid="{7D107EBE-F4D3-4E63-AAB5-656E14BBD458}"/>
    <cellStyle name="見出し 3 4 2 2 2" xfId="372" xr:uid="{975BE2A6-B701-4550-BD5E-5F971B86C317}"/>
    <cellStyle name="見出し 3 4 2 3" xfId="276" xr:uid="{FFC674EE-B17B-4E68-A0EB-634F436D55BB}"/>
    <cellStyle name="見出し 3 4 3" xfId="249" xr:uid="{76F113DD-B55C-4A6A-B8A3-178C33FED1E8}"/>
    <cellStyle name="見出し 3 4 3 2" xfId="280" xr:uid="{10C0F5B1-F971-46F8-9ADB-933B03A49506}"/>
    <cellStyle name="見出し 3 5" xfId="208" xr:uid="{00000000-0005-0000-0000-0000D1000000}"/>
    <cellStyle name="見出し 3 5 2" xfId="253" xr:uid="{DB296EF8-8563-4920-9283-39E2BC15E39F}"/>
    <cellStyle name="見出し 3 5 2 2" xfId="365" xr:uid="{851DFA3F-3BDD-4FCD-AA12-EA51EF4F05DB}"/>
    <cellStyle name="見出し 3 5 2 2 2" xfId="371" xr:uid="{825EFDAE-3B5A-424B-B26A-21C7D04CC9AA}"/>
    <cellStyle name="見出し 3 5 2 3" xfId="277" xr:uid="{A331EC57-F6DF-4E16-8511-6705BCB95E26}"/>
    <cellStyle name="見出し 3 5 3" xfId="315" xr:uid="{BC4C8AFA-D1DE-4F9A-987D-5CF7DB71ECDF}"/>
    <cellStyle name="見出し 3 5 3 2" xfId="257" xr:uid="{174515C7-7E89-42B5-8D50-1E3CDC6A589A}"/>
    <cellStyle name="見出し 3 6" xfId="209" xr:uid="{00000000-0005-0000-0000-0000D2000000}"/>
    <cellStyle name="見出し 3 6 2" xfId="252" xr:uid="{BFCEAA0A-E4F4-4A68-8DA1-9F56204DB9B7}"/>
    <cellStyle name="見出し 3 6 2 2" xfId="364" xr:uid="{85EC3204-995C-4B45-8BC2-2932DF52166D}"/>
    <cellStyle name="見出し 3 6 2 2 2" xfId="370" xr:uid="{F87F51A1-0E0A-4808-947E-1701EE4E0953}"/>
    <cellStyle name="見出し 3 6 2 3" xfId="278" xr:uid="{1D29A082-D753-4634-A4BA-B3E9B4BACA58}"/>
    <cellStyle name="見出し 3 6 3" xfId="313" xr:uid="{887BE1C7-BF7D-401A-A9D6-978FC817BAF6}"/>
    <cellStyle name="見出し 3 6 3 2" xfId="259" xr:uid="{98875810-709B-4EF3-A014-F47108FDA0DC}"/>
    <cellStyle name="見出し 3 7" xfId="210" xr:uid="{00000000-0005-0000-0000-0000D3000000}"/>
    <cellStyle name="見出し 3 7 2" xfId="251" xr:uid="{ED92F048-8C2A-420E-A40F-B78F5BD953CA}"/>
    <cellStyle name="見出し 3 7 2 2" xfId="363" xr:uid="{9C85D455-8559-4302-B6C0-1647E15EA4C9}"/>
    <cellStyle name="見出し 3 7 2 2 2" xfId="369" xr:uid="{9A3F6D82-A389-4FAC-8E88-A035A5715C77}"/>
    <cellStyle name="見出し 3 7 2 3" xfId="279" xr:uid="{70403895-8D3E-44B8-A8BC-EACEE2D28986}"/>
    <cellStyle name="見出し 3 7 3" xfId="314" xr:uid="{F1F982E0-5EC4-439F-918D-7BB8A293C68D}"/>
    <cellStyle name="見出し 3 7 3 2" xfId="258" xr:uid="{F2557FE6-839D-4419-A990-E9EC8A695781}"/>
    <cellStyle name="見出し 4 2" xfId="211" xr:uid="{00000000-0005-0000-0000-0000D4000000}"/>
    <cellStyle name="見出し 4 3" xfId="212" xr:uid="{00000000-0005-0000-0000-0000D5000000}"/>
    <cellStyle name="見出し 4 4" xfId="213" xr:uid="{00000000-0005-0000-0000-0000D6000000}"/>
    <cellStyle name="見出し 4 5" xfId="214" xr:uid="{00000000-0005-0000-0000-0000D7000000}"/>
    <cellStyle name="見出し 4 6" xfId="215" xr:uid="{00000000-0005-0000-0000-0000D8000000}"/>
    <cellStyle name="見出し 4 7" xfId="216" xr:uid="{00000000-0005-0000-0000-0000D9000000}"/>
    <cellStyle name="集計 2" xfId="217" xr:uid="{00000000-0005-0000-0000-0000DA000000}"/>
    <cellStyle name="集計 2 2" xfId="293" xr:uid="{A9847219-47A6-463A-9673-6413D6BE395D}"/>
    <cellStyle name="集計 2 2 2" xfId="345" xr:uid="{0630DB5D-F4C3-4233-9D6C-9143A395DDB5}"/>
    <cellStyle name="集計 2 3" xfId="250" xr:uid="{B13E0418-1D6B-441D-ABFA-D822D9BFB7F0}"/>
    <cellStyle name="集計 3" xfId="218" xr:uid="{00000000-0005-0000-0000-0000DB000000}"/>
    <cellStyle name="集計 3 2" xfId="294" xr:uid="{CB02BFBC-12E1-46E0-89D5-219D4193752D}"/>
    <cellStyle name="集計 3 2 2" xfId="346" xr:uid="{EF64DE80-70B4-46E2-8904-E48C9BD0C38D}"/>
    <cellStyle name="集計 3 3" xfId="316" xr:uid="{8BD34CB3-A4B2-4B11-8D68-8F5E14C04F67}"/>
    <cellStyle name="集計 4" xfId="219" xr:uid="{00000000-0005-0000-0000-0000DC000000}"/>
    <cellStyle name="集計 4 2" xfId="295" xr:uid="{1AE7FB7B-DA16-47FB-A3E8-4C6F46E56AE5}"/>
    <cellStyle name="集計 4 2 2" xfId="347" xr:uid="{FEFCEFF9-E495-42A9-8EB5-4B5C7BC6DB3D}"/>
    <cellStyle name="集計 4 3" xfId="317" xr:uid="{329FB510-24CF-4E42-AD1A-92FF586FF2C0}"/>
    <cellStyle name="集計 5" xfId="220" xr:uid="{00000000-0005-0000-0000-0000DD000000}"/>
    <cellStyle name="集計 5 2" xfId="296" xr:uid="{C65E0C64-82D8-47C5-9ED8-02A93AEC48D4}"/>
    <cellStyle name="集計 5 2 2" xfId="348" xr:uid="{9A537E65-9F6C-4880-88E8-3DD66D941B20}"/>
    <cellStyle name="集計 5 3" xfId="318" xr:uid="{97D8732C-A938-45B4-929D-E613E8C403D1}"/>
    <cellStyle name="集計 6" xfId="221" xr:uid="{00000000-0005-0000-0000-0000DE000000}"/>
    <cellStyle name="集計 6 2" xfId="297" xr:uid="{D44AED08-4369-4BF5-806B-F60072553EFF}"/>
    <cellStyle name="集計 6 2 2" xfId="349" xr:uid="{B9EA157F-86BE-4722-A68E-51D43B05D156}"/>
    <cellStyle name="集計 6 3" xfId="319" xr:uid="{D8D65991-CC1F-4AE0-8822-C78335EC0D2B}"/>
    <cellStyle name="集計 7" xfId="222" xr:uid="{00000000-0005-0000-0000-0000DF000000}"/>
    <cellStyle name="集計 7 2" xfId="298" xr:uid="{AC6AA928-E8F2-4F5F-94E0-582C90908496}"/>
    <cellStyle name="集計 7 2 2" xfId="350" xr:uid="{C7EBEED2-6092-4831-9611-9D2CFF651228}"/>
    <cellStyle name="集計 7 3" xfId="320" xr:uid="{F048B737-9132-4B55-ADEB-8A6966CF59E2}"/>
    <cellStyle name="出力 2" xfId="223" xr:uid="{00000000-0005-0000-0000-0000E0000000}"/>
    <cellStyle name="出力 2 2" xfId="299" xr:uid="{C71FA7FE-076F-4778-8AB6-4079297F0E99}"/>
    <cellStyle name="出力 2 2 2" xfId="351" xr:uid="{4A39EA29-1EEB-4F69-8A4A-E9BB5F47CCAE}"/>
    <cellStyle name="出力 2 3" xfId="321" xr:uid="{026926B0-CF7D-4C87-8F4C-54E4E7BDE7C8}"/>
    <cellStyle name="出力 3" xfId="224" xr:uid="{00000000-0005-0000-0000-0000E1000000}"/>
    <cellStyle name="出力 3 2" xfId="300" xr:uid="{DB621C81-BCF9-4431-B40B-3F2A9CE29110}"/>
    <cellStyle name="出力 3 2 2" xfId="352" xr:uid="{1FF6B062-C735-4519-9C00-5DBDEC5781CB}"/>
    <cellStyle name="出力 3 3" xfId="322" xr:uid="{43A9C58B-CE11-4A41-A243-83AE2DDD565A}"/>
    <cellStyle name="出力 4" xfId="225" xr:uid="{00000000-0005-0000-0000-0000E2000000}"/>
    <cellStyle name="出力 4 2" xfId="301" xr:uid="{94AA1AEF-6C3C-4E11-BEB6-A44E076B0B64}"/>
    <cellStyle name="出力 4 2 2" xfId="353" xr:uid="{8FB3A732-AC7D-4F51-9230-630ABFA756B5}"/>
    <cellStyle name="出力 4 3" xfId="323" xr:uid="{BBE0515D-8F3B-4387-BD03-AB2579E598D0}"/>
    <cellStyle name="出力 5" xfId="226" xr:uid="{00000000-0005-0000-0000-0000E3000000}"/>
    <cellStyle name="出力 5 2" xfId="302" xr:uid="{190531F6-8917-4519-8145-7FE099135299}"/>
    <cellStyle name="出力 5 2 2" xfId="354" xr:uid="{671F3D68-091B-4CF7-B4F1-A7A6B8852E11}"/>
    <cellStyle name="出力 5 3" xfId="324" xr:uid="{4C914572-889F-4A44-8FD6-98C16C41A751}"/>
    <cellStyle name="出力 6" xfId="227" xr:uid="{00000000-0005-0000-0000-0000E4000000}"/>
    <cellStyle name="出力 6 2" xfId="303" xr:uid="{3FBD054A-B945-4FDB-8BAE-47C009B645C3}"/>
    <cellStyle name="出力 6 2 2" xfId="355" xr:uid="{5864F852-CD6F-4FBA-9A84-CB8E55109167}"/>
    <cellStyle name="出力 6 3" xfId="325" xr:uid="{29BF103E-3316-4E23-958A-D7C0B3948FCE}"/>
    <cellStyle name="出力 7" xfId="228" xr:uid="{00000000-0005-0000-0000-0000E5000000}"/>
    <cellStyle name="出力 7 2" xfId="304" xr:uid="{653FD938-AE21-49A2-AFFF-CF7CFA0EC8CE}"/>
    <cellStyle name="出力 7 2 2" xfId="356" xr:uid="{D3E0EA0B-B2E2-4094-BF97-3DE93C22D199}"/>
    <cellStyle name="出力 7 3" xfId="326" xr:uid="{DED9DBF5-DC48-45EC-82BD-A5C2CCA8A2FE}"/>
    <cellStyle name="説明文 2" xfId="229" xr:uid="{00000000-0005-0000-0000-0000E6000000}"/>
    <cellStyle name="説明文 3" xfId="230" xr:uid="{00000000-0005-0000-0000-0000E7000000}"/>
    <cellStyle name="説明文 4" xfId="231" xr:uid="{00000000-0005-0000-0000-0000E8000000}"/>
    <cellStyle name="説明文 5" xfId="232" xr:uid="{00000000-0005-0000-0000-0000E9000000}"/>
    <cellStyle name="説明文 6" xfId="233" xr:uid="{00000000-0005-0000-0000-0000EA000000}"/>
    <cellStyle name="説明文 7" xfId="234" xr:uid="{00000000-0005-0000-0000-0000EB000000}"/>
    <cellStyle name="入力 2" xfId="235" xr:uid="{00000000-0005-0000-0000-0000EC000000}"/>
    <cellStyle name="入力 2 2" xfId="307" xr:uid="{B409F1C9-D509-4A50-A29B-31495E33209D}"/>
    <cellStyle name="入力 2 2 2" xfId="357" xr:uid="{3DC580AB-5B7A-4003-B910-9F48D42F7B90}"/>
    <cellStyle name="入力 2 3" xfId="327" xr:uid="{62E03722-2BD4-468E-8C7F-77972E6CCDD9}"/>
    <cellStyle name="入力 3" xfId="236" xr:uid="{00000000-0005-0000-0000-0000ED000000}"/>
    <cellStyle name="入力 3 2" xfId="308" xr:uid="{5D96A9A5-8315-495F-BB9C-45D041A71FA6}"/>
    <cellStyle name="入力 3 2 2" xfId="358" xr:uid="{802AD688-17F9-4882-9E50-C3658E59EDDC}"/>
    <cellStyle name="入力 3 3" xfId="328" xr:uid="{A58D7D17-BC68-4A77-9479-010581A2C362}"/>
    <cellStyle name="入力 4" xfId="237" xr:uid="{00000000-0005-0000-0000-0000EE000000}"/>
    <cellStyle name="入力 4 2" xfId="309" xr:uid="{961493F9-6096-4DA4-AA85-4BB6ECF386F6}"/>
    <cellStyle name="入力 4 2 2" xfId="359" xr:uid="{32C7ECBF-6F7E-4A60-A70D-C6C02A2FEA75}"/>
    <cellStyle name="入力 4 3" xfId="329" xr:uid="{0438F3CF-4B1F-4CD6-8EA8-51CA73B64599}"/>
    <cellStyle name="入力 5" xfId="238" xr:uid="{00000000-0005-0000-0000-0000EF000000}"/>
    <cellStyle name="入力 5 2" xfId="310" xr:uid="{428738FB-44F9-4C09-B48A-12FBDFAF8B88}"/>
    <cellStyle name="入力 5 2 2" xfId="360" xr:uid="{4BDDC115-AE68-4EAA-9EA1-5B376AEB1482}"/>
    <cellStyle name="入力 5 3" xfId="330" xr:uid="{1120C082-3F3D-4298-B67F-0C298923CCF8}"/>
    <cellStyle name="入力 6" xfId="239" xr:uid="{00000000-0005-0000-0000-0000F0000000}"/>
    <cellStyle name="入力 6 2" xfId="311" xr:uid="{9F703DF2-E040-44C7-B111-BAFD77F26FB2}"/>
    <cellStyle name="入力 6 2 2" xfId="361" xr:uid="{54913586-15FE-4623-AAA1-305B822F191E}"/>
    <cellStyle name="入力 6 3" xfId="331" xr:uid="{36ABF1ED-83AE-4D7F-B31C-880010D493F2}"/>
    <cellStyle name="入力 7" xfId="240" xr:uid="{00000000-0005-0000-0000-0000F1000000}"/>
    <cellStyle name="入力 7 2" xfId="312" xr:uid="{269F08A5-20B3-4DAC-9D0B-BDFA9642EC4C}"/>
    <cellStyle name="入力 7 2 2" xfId="362" xr:uid="{758C9361-0855-4EBA-8BE5-4EFB47D1FDD1}"/>
    <cellStyle name="入力 7 3" xfId="332" xr:uid="{516DC958-A7D5-4F86-A72B-41CA9F73008E}"/>
    <cellStyle name="標準" xfId="0" builtinId="0"/>
    <cellStyle name="標準 2 2" xfId="247" xr:uid="{00000000-0005-0000-0000-0000F3000000}"/>
    <cellStyle name="良い 2" xfId="241" xr:uid="{00000000-0005-0000-0000-0000F4000000}"/>
    <cellStyle name="良い 3" xfId="242" xr:uid="{00000000-0005-0000-0000-0000F5000000}"/>
    <cellStyle name="良い 4" xfId="243" xr:uid="{00000000-0005-0000-0000-0000F6000000}"/>
    <cellStyle name="良い 5" xfId="244" xr:uid="{00000000-0005-0000-0000-0000F7000000}"/>
    <cellStyle name="良い 6" xfId="245" xr:uid="{00000000-0005-0000-0000-0000F8000000}"/>
    <cellStyle name="良い 7" xfId="246" xr:uid="{00000000-0005-0000-0000-0000F9000000}"/>
  </cellStyles>
  <dxfs count="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C000"/>
        </patternFill>
      </fill>
    </dxf>
  </dxfs>
  <tableStyles count="0" defaultTableStyle="TableStyleMedium2" defaultPivotStyle="PivotStyleLight16"/>
  <colors>
    <mruColors>
      <color rgb="FFFC9804"/>
      <color rgb="FFFFFFCC"/>
      <color rgb="FFFF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0_2">
  <dgm:title val=""/>
  <dgm:desc val=""/>
  <dgm:catLst>
    <dgm:cat type="mainScheme" pri="10200"/>
  </dgm:catLst>
  <dgm:styleLbl name="node0">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align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lnNode1">
    <dgm:fillClrLst meth="repeat">
      <a:schemeClr val="lt1"/>
    </dgm:fillClrLst>
    <dgm:linClrLst meth="repeat">
      <a:schemeClr val="dk2">
        <a:shade val="80000"/>
      </a:schemeClr>
    </dgm:linClrLst>
    <dgm:effectClrLst/>
    <dgm:txLinClrLst/>
    <dgm:txFillClrLst meth="repeat">
      <a:schemeClr val="dk2"/>
    </dgm:txFillClrLst>
    <dgm:txEffectClrLst/>
  </dgm:styleLbl>
  <dgm:styleLbl name="vennNode1">
    <dgm:fillClrLst meth="repeat">
      <a:schemeClr val="lt1">
        <a:alpha val="50000"/>
      </a:schemeClr>
    </dgm:fillClrLst>
    <dgm:linClrLst meth="repeat">
      <a:schemeClr val="dk2">
        <a:shade val="80000"/>
      </a:schemeClr>
    </dgm:linClrLst>
    <dgm:effectClrLst/>
    <dgm:txLinClrLst/>
    <dgm:txFillClrLst/>
    <dgm:txEffectClrLst/>
  </dgm:styleLbl>
  <dgm:styleLbl name="node2">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3">
    <dgm:fillClrLst meth="repeat">
      <a:schemeClr val="lt1"/>
    </dgm:fillClrLst>
    <dgm:linClrLst meth="repeat">
      <a:schemeClr val="dk2">
        <a:shade val="80000"/>
      </a:schemeClr>
    </dgm:linClrLst>
    <dgm:effectClrLst/>
    <dgm:txLinClrLst/>
    <dgm:txFillClrLst meth="repeat">
      <a:schemeClr val="dk2"/>
    </dgm:txFillClrLst>
    <dgm:txEffectClrLst/>
  </dgm:styleLbl>
  <dgm:styleLbl name="node4">
    <dgm:fillClrLst meth="repeat">
      <a:schemeClr val="lt1"/>
    </dgm:fillClrLst>
    <dgm:linClrLst meth="repeat">
      <a:schemeClr val="dk2">
        <a:shade val="80000"/>
      </a:schemeClr>
    </dgm:linClrLst>
    <dgm:effectClrLst/>
    <dgm:txLinClrLst/>
    <dgm:txFillClrLst meth="repeat">
      <a:schemeClr val="dk2"/>
    </dgm:txFillClrLst>
    <dgm:txEffectClrLst/>
  </dgm:styleLbl>
  <dgm:styleLbl name="fg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align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bgImgPlace1">
    <dgm:fillClrLst meth="repeat">
      <a:schemeClr val="dk2">
        <a:tint val="40000"/>
      </a:schemeClr>
    </dgm:fillClrLst>
    <dgm:linClrLst meth="repeat">
      <a:schemeClr val="dk2">
        <a:shade val="80000"/>
      </a:schemeClr>
    </dgm:linClrLst>
    <dgm:effectClrLst/>
    <dgm:txLinClrLst/>
    <dgm:txFillClrLst meth="repeat">
      <a:schemeClr val="lt1"/>
    </dgm:txFillClrLst>
    <dgm:txEffectClrLst/>
  </dgm:styleLbl>
  <dgm:styleLbl name="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fg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bgSibTrans2D1">
    <dgm:fillClrLst meth="repeat">
      <a:schemeClr val="dk2">
        <a:tint val="60000"/>
      </a:schemeClr>
    </dgm:fillClrLst>
    <dgm:linClrLst meth="repeat">
      <a:schemeClr val="dk2">
        <a:tint val="60000"/>
      </a:schemeClr>
    </dgm:linClrLst>
    <dgm:effectClrLst/>
    <dgm:txLinClrLst/>
    <dgm:txFillClrLst meth="repeat">
      <a:schemeClr val="dk2"/>
    </dgm:txFillClrLst>
    <dgm:txEffectClrLst/>
  </dgm:styleLbl>
  <dgm:styleLbl name="sibTrans1D1">
    <dgm:fillClrLst meth="repeat">
      <a:schemeClr val="dk2"/>
    </dgm:fillClrLst>
    <dgm:linClrLst meth="repeat">
      <a:schemeClr val="dk2"/>
    </dgm:linClrLst>
    <dgm:effectClrLst/>
    <dgm:txLinClrLst/>
    <dgm:txFillClrLst meth="repeat">
      <a:schemeClr val="tx1"/>
    </dgm:txFillClrLst>
    <dgm:txEffectClrLst/>
  </dgm:styleLbl>
  <dgm:styleLbl name="callout">
    <dgm:fillClrLst meth="repeat">
      <a:schemeClr val="dk2"/>
    </dgm:fillClrLst>
    <dgm:linClrLst meth="repeat">
      <a:schemeClr val="dk2"/>
    </dgm:linClrLst>
    <dgm:effectClrLst/>
    <dgm:txLinClrLst/>
    <dgm:txFillClrLst meth="repeat">
      <a:schemeClr val="tx1"/>
    </dgm:txFillClrLst>
    <dgm:txEffectClrLst/>
  </dgm:styleLbl>
  <dgm:styleLbl name="asst0">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1">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2">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3">
    <dgm:fillClrLst meth="repeat">
      <a:schemeClr val="lt1"/>
    </dgm:fillClrLst>
    <dgm:linClrLst meth="repeat">
      <a:schemeClr val="dk2">
        <a:shade val="80000"/>
      </a:schemeClr>
    </dgm:linClrLst>
    <dgm:effectClrLst/>
    <dgm:txLinClrLst/>
    <dgm:txFillClrLst meth="repeat">
      <a:schemeClr val="dk2"/>
    </dgm:txFillClrLst>
    <dgm:txEffectClrLst/>
  </dgm:styleLbl>
  <dgm:styleLbl name="asst4">
    <dgm:fillClrLst meth="repeat">
      <a:schemeClr val="lt1"/>
    </dgm:fillClrLst>
    <dgm:linClrLst meth="repeat">
      <a:schemeClr val="dk2">
        <a:shade val="80000"/>
      </a:schemeClr>
    </dgm:linClrLst>
    <dgm:effectClrLst/>
    <dgm:txLinClrLst/>
    <dgm:txFillClrLst meth="repeat">
      <a:schemeClr val="dk2"/>
    </dgm:txFillClrLst>
    <dgm:txEffectClrLst/>
  </dgm:styleLbl>
  <dgm:styleLbl name="parChTrans2D1">
    <dgm:fillClrLst meth="repeat">
      <a:schemeClr val="dk2">
        <a:tint val="60000"/>
      </a:schemeClr>
    </dgm:fillClrLst>
    <dgm:linClrLst meth="repeat">
      <a:schemeClr val="dk2">
        <a:tint val="60000"/>
      </a:schemeClr>
    </dgm:linClrLst>
    <dgm:effectClrLst/>
    <dgm:txLinClrLst/>
    <dgm:txFillClrLst/>
    <dgm:txEffectClrLst/>
  </dgm:styleLbl>
  <dgm:styleLbl name="parChTrans2D2">
    <dgm:fillClrLst meth="repeat">
      <a:schemeClr val="dk2"/>
    </dgm:fillClrLst>
    <dgm:linClrLst meth="repeat">
      <a:schemeClr val="dk2"/>
    </dgm:linClrLst>
    <dgm:effectClrLst/>
    <dgm:txLinClrLst/>
    <dgm:txFillClrLst/>
    <dgm:txEffectClrLst/>
  </dgm:styleLbl>
  <dgm:styleLbl name="parChTrans2D3">
    <dgm:fillClrLst meth="repeat">
      <a:schemeClr val="dk2"/>
    </dgm:fillClrLst>
    <dgm:linClrLst meth="repeat">
      <a:schemeClr val="dk2"/>
    </dgm:linClrLst>
    <dgm:effectClrLst/>
    <dgm:txLinClrLst/>
    <dgm:txFillClrLst/>
    <dgm:txEffectClrLst/>
  </dgm:styleLbl>
  <dgm:styleLbl name="parChTrans2D4">
    <dgm:fillClrLst meth="repeat">
      <a:schemeClr val="dk2"/>
    </dgm:fillClrLst>
    <dgm:linClrLst meth="repeat">
      <a:schemeClr val="dk2"/>
    </dgm:linClrLst>
    <dgm:effectClrLst/>
    <dgm:txLinClrLst/>
    <dgm:txFillClrLst meth="repeat">
      <a:schemeClr val="lt1"/>
    </dgm:txFillClrLst>
    <dgm:txEffectClrLst/>
  </dgm:styleLbl>
  <dgm:styleLbl name="parChTrans1D1">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2">
    <dgm:fillClrLst meth="repeat">
      <a:schemeClr val="dk2"/>
    </dgm:fillClrLst>
    <dgm:linClrLst meth="repeat">
      <a:schemeClr val="dk2">
        <a:shade val="60000"/>
      </a:schemeClr>
    </dgm:linClrLst>
    <dgm:effectClrLst/>
    <dgm:txLinClrLst/>
    <dgm:txFillClrLst meth="repeat">
      <a:schemeClr val="tx1"/>
    </dgm:txFillClrLst>
    <dgm:txEffectClrLst/>
  </dgm:styleLbl>
  <dgm:styleLbl name="parChTrans1D3">
    <dgm:fillClrLst meth="repeat">
      <a:schemeClr val="dk2"/>
    </dgm:fillClrLst>
    <dgm:linClrLst meth="repeat">
      <a:schemeClr val="dk2">
        <a:shade val="80000"/>
      </a:schemeClr>
    </dgm:linClrLst>
    <dgm:effectClrLst/>
    <dgm:txLinClrLst/>
    <dgm:txFillClrLst meth="repeat">
      <a:schemeClr val="tx1"/>
    </dgm:txFillClrLst>
    <dgm:txEffectClrLst/>
  </dgm:styleLbl>
  <dgm:styleLbl name="parChTrans1D4">
    <dgm:fillClrLst meth="repeat">
      <a:schemeClr val="dk2"/>
    </dgm:fillClrLst>
    <dgm:linClrLst meth="repeat">
      <a:schemeClr val="dk2">
        <a:shade val="80000"/>
      </a:schemeClr>
    </dgm:linClrLst>
    <dgm:effectClrLst/>
    <dgm:txLinClrLst/>
    <dgm:txFillClrLst meth="repeat">
      <a:schemeClr val="tx1"/>
    </dgm:txFillClrLst>
    <dgm:txEffectClrLst/>
  </dgm:styleLbl>
  <dgm:styleLbl name="f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conF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align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trAlignAcc1">
    <dgm:fillClrLst meth="repeat">
      <a:schemeClr val="dk2">
        <a:alpha val="40000"/>
        <a:tint val="40000"/>
      </a:schemeClr>
    </dgm:fillClrLst>
    <dgm:linClrLst meth="repeat">
      <a:schemeClr val="dk2"/>
    </dgm:linClrLst>
    <dgm:effectClrLst/>
    <dgm:txLinClrLst/>
    <dgm:txFillClrLst meth="repeat">
      <a:schemeClr val="dk2"/>
    </dgm:txFillClrLst>
    <dgm:txEffectClrLst/>
  </dgm:styleLbl>
  <dgm:styleLbl name="bgAcc1">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solidFgAcc1">
    <dgm:fillClrLst meth="repeat">
      <a:schemeClr val="lt1"/>
    </dgm:fillClrLst>
    <dgm:linClrLst meth="repeat">
      <a:schemeClr val="dk2"/>
    </dgm:linClrLst>
    <dgm:effectClrLst/>
    <dgm:txLinClrLst/>
    <dgm:txFillClrLst meth="repeat">
      <a:schemeClr val="dk2"/>
    </dgm:txFillClrLst>
    <dgm:txEffectClrLst/>
  </dgm:styleLbl>
  <dgm:styleLbl name="solidAlignAcc1">
    <dgm:fillClrLst meth="repeat">
      <a:schemeClr val="lt1"/>
    </dgm:fillClrLst>
    <dgm:linClrLst meth="repeat">
      <a:schemeClr val="dk2"/>
    </dgm:linClrLst>
    <dgm:effectClrLst/>
    <dgm:txLinClrLst/>
    <dgm:txFillClrLst meth="repeat">
      <a:schemeClr val="dk2"/>
    </dgm:txFillClrLst>
    <dgm:txEffectClrLst/>
  </dgm:styleLbl>
  <dgm:styleLbl name="solidBgAcc1">
    <dgm:fillClrLst meth="repeat">
      <a:schemeClr val="lt1"/>
    </dgm:fillClrLst>
    <dgm:linClrLst meth="repeat">
      <a:schemeClr val="dk2"/>
    </dgm:linClrLst>
    <dgm:effectClrLst/>
    <dgm:txLinClrLst/>
    <dgm:txFillClrLst meth="repeat">
      <a:schemeClr val="dk2"/>
    </dgm:txFillClrLst>
    <dgm:txEffectClrLst/>
  </dgm:styleLbl>
  <dgm:styleLbl name="fg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align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bgAccFollowNode1">
    <dgm:fillClrLst meth="repeat">
      <a:schemeClr val="lt1">
        <a:alpha val="90000"/>
        <a:tint val="40000"/>
      </a:schemeClr>
    </dgm:fillClrLst>
    <dgm:linClrLst meth="repeat">
      <a:schemeClr val="dk2">
        <a:alpha val="90000"/>
      </a:schemeClr>
    </dgm:linClrLst>
    <dgm:effectClrLst/>
    <dgm:txLinClrLst/>
    <dgm:txFillClrLst meth="repeat">
      <a:schemeClr val="dk2"/>
    </dgm:txFillClrLst>
    <dgm:txEffectClrLst/>
  </dgm:styleLbl>
  <dgm:styleLbl name="fgAcc0">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2">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3">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fgAcc4">
    <dgm:fillClrLst meth="repeat">
      <a:schemeClr val="dk2">
        <a:alpha val="90000"/>
        <a:tint val="40000"/>
      </a:schemeClr>
    </dgm:fillClrLst>
    <dgm:linClrLst meth="repeat">
      <a:schemeClr val="dk2"/>
    </dgm:linClrLst>
    <dgm:effectClrLst/>
    <dgm:txLinClrLst/>
    <dgm:txFillClrLst meth="repeat">
      <a:schemeClr val="dk2"/>
    </dgm:txFillClrLst>
    <dgm:txEffectClrLst/>
  </dgm:styleLbl>
  <dgm:styleLbl name="bgShp">
    <dgm:fillClrLst meth="repeat">
      <a:schemeClr val="dk2">
        <a:tint val="40000"/>
      </a:schemeClr>
    </dgm:fillClrLst>
    <dgm:linClrLst meth="repeat">
      <a:schemeClr val="dk2"/>
    </dgm:linClrLst>
    <dgm:effectClrLst/>
    <dgm:txLinClrLst/>
    <dgm:txFillClrLst meth="repeat">
      <a:schemeClr val="dk1"/>
    </dgm:txFillClrLst>
    <dgm:txEffectClrLst/>
  </dgm:styleLbl>
  <dgm:styleLbl name="dkBgShp">
    <dgm:fillClrLst meth="repeat">
      <a:schemeClr val="dk2">
        <a:shade val="80000"/>
      </a:schemeClr>
    </dgm:fillClrLst>
    <dgm:linClrLst meth="repeat">
      <a:schemeClr val="dk2"/>
    </dgm:linClrLst>
    <dgm:effectClrLst/>
    <dgm:txLinClrLst/>
    <dgm:txFillClrLst meth="repeat">
      <a:schemeClr val="lt2"/>
    </dgm:txFillClrLst>
    <dgm:txEffectClrLst/>
  </dgm:styleLbl>
  <dgm:styleLbl name="trBgShp">
    <dgm:fillClrLst meth="repeat">
      <a:schemeClr val="dk2">
        <a:tint val="50000"/>
        <a:alpha val="40000"/>
      </a:schemeClr>
    </dgm:fillClrLst>
    <dgm:linClrLst meth="repeat">
      <a:schemeClr val="dk2"/>
    </dgm:linClrLst>
    <dgm:effectClrLst/>
    <dgm:txLinClrLst/>
    <dgm:txFillClrLst meth="repeat">
      <a:schemeClr val="lt2"/>
    </dgm:txFillClrLst>
    <dgm:txEffectClrLst/>
  </dgm:styleLbl>
  <dgm:styleLbl name="fgShp">
    <dgm:fillClrLst meth="repeat">
      <a:schemeClr val="dk2">
        <a:tint val="60000"/>
      </a:schemeClr>
    </dgm:fillClrLst>
    <dgm:linClrLst meth="repeat">
      <a:schemeClr val="lt1"/>
    </dgm:linClrLst>
    <dgm:effectClrLst/>
    <dgm:txLinClrLst/>
    <dgm:txFillClrLst meth="repeat">
      <a:schemeClr val="dk2"/>
    </dgm:txFillClrLst>
    <dgm:txEffectClrLst/>
  </dgm:styleLbl>
  <dgm:styleLbl name="revTx">
    <dgm:fillClrLst meth="repeat">
      <a:schemeClr val="lt1">
        <a:alpha val="0"/>
      </a:schemeClr>
    </dgm:fillClrLst>
    <dgm:linClrLst meth="repeat">
      <a:schemeClr val="dk2">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FA3A490D-AE2A-4C00-BE12-91D48DD65BD3}" type="doc">
      <dgm:prSet loTypeId="urn:microsoft.com/office/officeart/2005/8/layout/hList1" loCatId="list" qsTypeId="urn:microsoft.com/office/officeart/2005/8/quickstyle/simple1" qsCatId="simple" csTypeId="urn:microsoft.com/office/officeart/2005/8/colors/accent0_2" csCatId="mainScheme" phldr="1"/>
      <dgm:spPr/>
      <dgm:t>
        <a:bodyPr/>
        <a:lstStyle/>
        <a:p>
          <a:endParaRPr kumimoji="1" lang="ja-JP" altLang="en-US"/>
        </a:p>
      </dgm:t>
    </dgm:pt>
    <dgm:pt modelId="{C86B5853-33D3-46C1-A2B2-7FF66DA8C538}">
      <dgm:prSet phldrT="[テキスト]"/>
      <dgm:spPr/>
      <dgm:t>
        <a:bodyPr/>
        <a:lstStyle/>
        <a:p>
          <a:r>
            <a:rPr kumimoji="1" lang="en-US" altLang="ja-JP"/>
            <a:t>Study Period</a:t>
          </a:r>
          <a:endParaRPr kumimoji="1" lang="ja-JP" altLang="en-US"/>
        </a:p>
      </dgm:t>
    </dgm:pt>
    <dgm:pt modelId="{F4C1EFCB-B603-4338-8DFE-A5D23F7818C3}" type="parTrans" cxnId="{519F0A19-DEB4-447C-A0CA-4E4081D27867}">
      <dgm:prSet/>
      <dgm:spPr/>
      <dgm:t>
        <a:bodyPr/>
        <a:lstStyle/>
        <a:p>
          <a:endParaRPr kumimoji="1" lang="ja-JP" altLang="en-US"/>
        </a:p>
      </dgm:t>
    </dgm:pt>
    <dgm:pt modelId="{5B1315C5-4EC2-4477-8CEF-896893BC1AD0}" type="sibTrans" cxnId="{519F0A19-DEB4-447C-A0CA-4E4081D27867}">
      <dgm:prSet/>
      <dgm:spPr/>
      <dgm:t>
        <a:bodyPr/>
        <a:lstStyle/>
        <a:p>
          <a:endParaRPr kumimoji="1" lang="ja-JP" altLang="en-US"/>
        </a:p>
      </dgm:t>
    </dgm:pt>
    <dgm:pt modelId="{7C1F43F5-E281-41CC-A80F-BD49302F4774}">
      <dgm:prSet phldrT="[テキスト]"/>
      <dgm:spPr/>
      <dgm:t>
        <a:bodyPr/>
        <a:lstStyle/>
        <a:p>
          <a:r>
            <a:rPr kumimoji="1" lang="en-US" altLang="ja-JP"/>
            <a:t>1:  8:50 -</a:t>
          </a:r>
          <a:r>
            <a:rPr kumimoji="1" lang="ja-JP" altLang="en-US"/>
            <a:t> </a:t>
          </a:r>
          <a:r>
            <a:rPr kumimoji="1" lang="en-US" altLang="ja-JP"/>
            <a:t>10:20</a:t>
          </a:r>
          <a:r>
            <a:rPr kumimoji="1" lang="ja-JP" altLang="en-US"/>
            <a:t>　</a:t>
          </a:r>
        </a:p>
      </dgm:t>
    </dgm:pt>
    <dgm:pt modelId="{47D09148-02F0-4A57-B496-C9E62776AD28}" type="parTrans" cxnId="{164F9982-AEC2-4C2B-8A3F-A20710FAFCD0}">
      <dgm:prSet/>
      <dgm:spPr/>
      <dgm:t>
        <a:bodyPr/>
        <a:lstStyle/>
        <a:p>
          <a:endParaRPr kumimoji="1" lang="ja-JP" altLang="en-US"/>
        </a:p>
      </dgm:t>
    </dgm:pt>
    <dgm:pt modelId="{0B678C9B-EFAD-4082-9852-7962D55666F9}" type="sibTrans" cxnId="{164F9982-AEC2-4C2B-8A3F-A20710FAFCD0}">
      <dgm:prSet/>
      <dgm:spPr/>
      <dgm:t>
        <a:bodyPr/>
        <a:lstStyle/>
        <a:p>
          <a:endParaRPr kumimoji="1" lang="ja-JP" altLang="en-US"/>
        </a:p>
      </dgm:t>
    </dgm:pt>
    <dgm:pt modelId="{C51B7C27-DC79-44B9-8E41-FF24B55D2043}">
      <dgm:prSet phldrT="[テキスト]"/>
      <dgm:spPr/>
      <dgm:t>
        <a:bodyPr/>
        <a:lstStyle/>
        <a:p>
          <a:r>
            <a:rPr kumimoji="1" lang="en-US" altLang="ja-JP"/>
            <a:t>3: 13:30 - 15:00</a:t>
          </a:r>
          <a:endParaRPr kumimoji="1" lang="ja-JP" altLang="en-US"/>
        </a:p>
      </dgm:t>
    </dgm:pt>
    <dgm:pt modelId="{65F108D8-F25E-436A-BA90-F55891A07FB5}" type="parTrans" cxnId="{927D0437-637D-4A4F-92C4-2F822C26C502}">
      <dgm:prSet/>
      <dgm:spPr/>
      <dgm:t>
        <a:bodyPr/>
        <a:lstStyle/>
        <a:p>
          <a:endParaRPr kumimoji="1" lang="ja-JP" altLang="en-US"/>
        </a:p>
      </dgm:t>
    </dgm:pt>
    <dgm:pt modelId="{3323FD08-FBC7-43C3-83ED-FE948E47F1E1}" type="sibTrans" cxnId="{927D0437-637D-4A4F-92C4-2F822C26C502}">
      <dgm:prSet/>
      <dgm:spPr/>
      <dgm:t>
        <a:bodyPr/>
        <a:lstStyle/>
        <a:p>
          <a:endParaRPr kumimoji="1" lang="ja-JP" altLang="en-US"/>
        </a:p>
      </dgm:t>
    </dgm:pt>
    <dgm:pt modelId="{AA95B522-F7A9-4402-AAC2-4F480C171058}">
      <dgm:prSet phldrT="[テキスト]"/>
      <dgm:spPr/>
      <dgm:t>
        <a:bodyPr/>
        <a:lstStyle/>
        <a:p>
          <a:r>
            <a:rPr kumimoji="1" lang="en-US" altLang="ja-JP"/>
            <a:t>2: 10:30 - 12:00</a:t>
          </a:r>
          <a:endParaRPr kumimoji="1" lang="ja-JP" altLang="en-US"/>
        </a:p>
      </dgm:t>
    </dgm:pt>
    <dgm:pt modelId="{F7B4502F-743A-4F52-A518-B52D8178EBDF}" type="parTrans" cxnId="{BF7820F2-E58F-4783-B4C1-FF6530173AF5}">
      <dgm:prSet/>
      <dgm:spPr/>
      <dgm:t>
        <a:bodyPr/>
        <a:lstStyle/>
        <a:p>
          <a:endParaRPr kumimoji="1" lang="ja-JP" altLang="en-US"/>
        </a:p>
      </dgm:t>
    </dgm:pt>
    <dgm:pt modelId="{C6478A06-324F-4F6E-9609-9F6474C7F91F}" type="sibTrans" cxnId="{BF7820F2-E58F-4783-B4C1-FF6530173AF5}">
      <dgm:prSet/>
      <dgm:spPr/>
      <dgm:t>
        <a:bodyPr/>
        <a:lstStyle/>
        <a:p>
          <a:endParaRPr kumimoji="1" lang="ja-JP" altLang="en-US"/>
        </a:p>
      </dgm:t>
    </dgm:pt>
    <dgm:pt modelId="{9654B765-01D0-4343-8C82-CC9DE63AA1DF}">
      <dgm:prSet phldrT="[テキスト]"/>
      <dgm:spPr/>
      <dgm:t>
        <a:bodyPr/>
        <a:lstStyle/>
        <a:p>
          <a:r>
            <a:rPr kumimoji="1" lang="en-US" altLang="ja-JP"/>
            <a:t>4: 15:10 - 16:40</a:t>
          </a:r>
          <a:endParaRPr kumimoji="1" lang="ja-JP" altLang="en-US"/>
        </a:p>
      </dgm:t>
    </dgm:pt>
    <dgm:pt modelId="{C4D3D2B4-4711-4408-95A4-F707C0218789}" type="parTrans" cxnId="{C7152F54-F8B6-4967-A712-79252578F16F}">
      <dgm:prSet/>
      <dgm:spPr/>
      <dgm:t>
        <a:bodyPr/>
        <a:lstStyle/>
        <a:p>
          <a:endParaRPr kumimoji="1" lang="ja-JP" altLang="en-US"/>
        </a:p>
      </dgm:t>
    </dgm:pt>
    <dgm:pt modelId="{A3F72679-5C01-407D-8C7C-DF440A0FA1D1}" type="sibTrans" cxnId="{C7152F54-F8B6-4967-A712-79252578F16F}">
      <dgm:prSet/>
      <dgm:spPr/>
      <dgm:t>
        <a:bodyPr/>
        <a:lstStyle/>
        <a:p>
          <a:endParaRPr kumimoji="1" lang="ja-JP" altLang="en-US"/>
        </a:p>
      </dgm:t>
    </dgm:pt>
    <dgm:pt modelId="{A9500F77-373D-4A61-BECA-C661F09EACC0}">
      <dgm:prSet phldrT="[テキスト]"/>
      <dgm:spPr/>
      <dgm:t>
        <a:bodyPr/>
        <a:lstStyle/>
        <a:p>
          <a:r>
            <a:rPr kumimoji="1" lang="en-US" altLang="ja-JP"/>
            <a:t>5: 16:50 - 18:20</a:t>
          </a:r>
          <a:endParaRPr kumimoji="1" lang="ja-JP" altLang="en-US"/>
        </a:p>
      </dgm:t>
    </dgm:pt>
    <dgm:pt modelId="{CA5B84DF-A5E6-4FB4-9550-574A3DE0B38F}" type="parTrans" cxnId="{CE245918-3171-40BF-8D17-31115B45C181}">
      <dgm:prSet/>
      <dgm:spPr/>
      <dgm:t>
        <a:bodyPr/>
        <a:lstStyle/>
        <a:p>
          <a:endParaRPr kumimoji="1" lang="ja-JP" altLang="en-US"/>
        </a:p>
      </dgm:t>
    </dgm:pt>
    <dgm:pt modelId="{0B6BB932-F15A-481B-808E-F85154614222}" type="sibTrans" cxnId="{CE245918-3171-40BF-8D17-31115B45C181}">
      <dgm:prSet/>
      <dgm:spPr/>
      <dgm:t>
        <a:bodyPr/>
        <a:lstStyle/>
        <a:p>
          <a:endParaRPr kumimoji="1" lang="ja-JP" altLang="en-US"/>
        </a:p>
      </dgm:t>
    </dgm:pt>
    <dgm:pt modelId="{EA522638-E171-4EA7-8144-9415D87538A3}" type="pres">
      <dgm:prSet presAssocID="{FA3A490D-AE2A-4C00-BE12-91D48DD65BD3}" presName="Name0" presStyleCnt="0">
        <dgm:presLayoutVars>
          <dgm:dir/>
          <dgm:animLvl val="lvl"/>
          <dgm:resizeHandles val="exact"/>
        </dgm:presLayoutVars>
      </dgm:prSet>
      <dgm:spPr/>
    </dgm:pt>
    <dgm:pt modelId="{F5E580BC-DE23-4F4A-8524-AA88A20252D5}" type="pres">
      <dgm:prSet presAssocID="{C86B5853-33D3-46C1-A2B2-7FF66DA8C538}" presName="composite" presStyleCnt="0"/>
      <dgm:spPr/>
    </dgm:pt>
    <dgm:pt modelId="{73836D0F-0FB2-4856-9B7A-989F383EFF38}" type="pres">
      <dgm:prSet presAssocID="{C86B5853-33D3-46C1-A2B2-7FF66DA8C538}" presName="parTx" presStyleLbl="alignNode1" presStyleIdx="0" presStyleCnt="1">
        <dgm:presLayoutVars>
          <dgm:chMax val="0"/>
          <dgm:chPref val="0"/>
          <dgm:bulletEnabled val="1"/>
        </dgm:presLayoutVars>
      </dgm:prSet>
      <dgm:spPr/>
    </dgm:pt>
    <dgm:pt modelId="{5E970198-A70B-4C07-ADB9-1EF76AEBFDF2}" type="pres">
      <dgm:prSet presAssocID="{C86B5853-33D3-46C1-A2B2-7FF66DA8C538}" presName="desTx" presStyleLbl="alignAccFollowNode1" presStyleIdx="0" presStyleCnt="1">
        <dgm:presLayoutVars>
          <dgm:bulletEnabled val="1"/>
        </dgm:presLayoutVars>
      </dgm:prSet>
      <dgm:spPr/>
    </dgm:pt>
  </dgm:ptLst>
  <dgm:cxnLst>
    <dgm:cxn modelId="{4C43EC06-23C6-44CC-8D0A-86212C612122}" type="presOf" srcId="{9654B765-01D0-4343-8C82-CC9DE63AA1DF}" destId="{5E970198-A70B-4C07-ADB9-1EF76AEBFDF2}" srcOrd="0" destOrd="3" presId="urn:microsoft.com/office/officeart/2005/8/layout/hList1"/>
    <dgm:cxn modelId="{BDAB2C12-7AB8-48A9-BA14-41A3655FAC03}" type="presOf" srcId="{C86B5853-33D3-46C1-A2B2-7FF66DA8C538}" destId="{73836D0F-0FB2-4856-9B7A-989F383EFF38}" srcOrd="0" destOrd="0" presId="urn:microsoft.com/office/officeart/2005/8/layout/hList1"/>
    <dgm:cxn modelId="{CE245918-3171-40BF-8D17-31115B45C181}" srcId="{C86B5853-33D3-46C1-A2B2-7FF66DA8C538}" destId="{A9500F77-373D-4A61-BECA-C661F09EACC0}" srcOrd="4" destOrd="0" parTransId="{CA5B84DF-A5E6-4FB4-9550-574A3DE0B38F}" sibTransId="{0B6BB932-F15A-481B-808E-F85154614222}"/>
    <dgm:cxn modelId="{519F0A19-DEB4-447C-A0CA-4E4081D27867}" srcId="{FA3A490D-AE2A-4C00-BE12-91D48DD65BD3}" destId="{C86B5853-33D3-46C1-A2B2-7FF66DA8C538}" srcOrd="0" destOrd="0" parTransId="{F4C1EFCB-B603-4338-8DFE-A5D23F7818C3}" sibTransId="{5B1315C5-4EC2-4477-8CEF-896893BC1AD0}"/>
    <dgm:cxn modelId="{927D0437-637D-4A4F-92C4-2F822C26C502}" srcId="{C86B5853-33D3-46C1-A2B2-7FF66DA8C538}" destId="{C51B7C27-DC79-44B9-8E41-FF24B55D2043}" srcOrd="2" destOrd="0" parTransId="{65F108D8-F25E-436A-BA90-F55891A07FB5}" sibTransId="{3323FD08-FBC7-43C3-83ED-FE948E47F1E1}"/>
    <dgm:cxn modelId="{23838272-8626-4E86-9CD8-7F1EB8A7B35E}" type="presOf" srcId="{7C1F43F5-E281-41CC-A80F-BD49302F4774}" destId="{5E970198-A70B-4C07-ADB9-1EF76AEBFDF2}" srcOrd="0" destOrd="0" presId="urn:microsoft.com/office/officeart/2005/8/layout/hList1"/>
    <dgm:cxn modelId="{C7152F54-F8B6-4967-A712-79252578F16F}" srcId="{C86B5853-33D3-46C1-A2B2-7FF66DA8C538}" destId="{9654B765-01D0-4343-8C82-CC9DE63AA1DF}" srcOrd="3" destOrd="0" parTransId="{C4D3D2B4-4711-4408-95A4-F707C0218789}" sibTransId="{A3F72679-5C01-407D-8C7C-DF440A0FA1D1}"/>
    <dgm:cxn modelId="{164F9982-AEC2-4C2B-8A3F-A20710FAFCD0}" srcId="{C86B5853-33D3-46C1-A2B2-7FF66DA8C538}" destId="{7C1F43F5-E281-41CC-A80F-BD49302F4774}" srcOrd="0" destOrd="0" parTransId="{47D09148-02F0-4A57-B496-C9E62776AD28}" sibTransId="{0B678C9B-EFAD-4082-9852-7962D55666F9}"/>
    <dgm:cxn modelId="{F9ED7B86-5DE2-4520-AC9A-AC81A838FADD}" type="presOf" srcId="{A9500F77-373D-4A61-BECA-C661F09EACC0}" destId="{5E970198-A70B-4C07-ADB9-1EF76AEBFDF2}" srcOrd="0" destOrd="4" presId="urn:microsoft.com/office/officeart/2005/8/layout/hList1"/>
    <dgm:cxn modelId="{10D6A7A8-825A-4C07-8BE9-1DBB2F260EDF}" type="presOf" srcId="{FA3A490D-AE2A-4C00-BE12-91D48DD65BD3}" destId="{EA522638-E171-4EA7-8144-9415D87538A3}" srcOrd="0" destOrd="0" presId="urn:microsoft.com/office/officeart/2005/8/layout/hList1"/>
    <dgm:cxn modelId="{F1BF42E6-EF76-45D1-BDD8-D67D7C2DA3C9}" type="presOf" srcId="{C51B7C27-DC79-44B9-8E41-FF24B55D2043}" destId="{5E970198-A70B-4C07-ADB9-1EF76AEBFDF2}" srcOrd="0" destOrd="2" presId="urn:microsoft.com/office/officeart/2005/8/layout/hList1"/>
    <dgm:cxn modelId="{BF7820F2-E58F-4783-B4C1-FF6530173AF5}" srcId="{C86B5853-33D3-46C1-A2B2-7FF66DA8C538}" destId="{AA95B522-F7A9-4402-AAC2-4F480C171058}" srcOrd="1" destOrd="0" parTransId="{F7B4502F-743A-4F52-A518-B52D8178EBDF}" sibTransId="{C6478A06-324F-4F6E-9609-9F6474C7F91F}"/>
    <dgm:cxn modelId="{526C8AFC-5F20-42CC-BF0E-CFF24AF65126}" type="presOf" srcId="{AA95B522-F7A9-4402-AAC2-4F480C171058}" destId="{5E970198-A70B-4C07-ADB9-1EF76AEBFDF2}" srcOrd="0" destOrd="1" presId="urn:microsoft.com/office/officeart/2005/8/layout/hList1"/>
    <dgm:cxn modelId="{1B4158E5-F6D4-495D-89F5-4F5C10E5249B}" type="presParOf" srcId="{EA522638-E171-4EA7-8144-9415D87538A3}" destId="{F5E580BC-DE23-4F4A-8524-AA88A20252D5}" srcOrd="0" destOrd="0" presId="urn:microsoft.com/office/officeart/2005/8/layout/hList1"/>
    <dgm:cxn modelId="{C6DA9F1D-0FB4-4782-9A6F-4DB91DA65FDE}" type="presParOf" srcId="{F5E580BC-DE23-4F4A-8524-AA88A20252D5}" destId="{73836D0F-0FB2-4856-9B7A-989F383EFF38}" srcOrd="0" destOrd="0" presId="urn:microsoft.com/office/officeart/2005/8/layout/hList1"/>
    <dgm:cxn modelId="{F8E096ED-7E2A-4061-9CCC-2D69D3C75087}" type="presParOf" srcId="{F5E580BC-DE23-4F4A-8524-AA88A20252D5}" destId="{5E970198-A70B-4C07-ADB9-1EF76AEBFDF2}" srcOrd="1" destOrd="0" presId="urn:microsoft.com/office/officeart/2005/8/layout/hLis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836D0F-0FB2-4856-9B7A-989F383EFF38}">
      <dsp:nvSpPr>
        <dsp:cNvPr id="0" name=""/>
        <dsp:cNvSpPr/>
      </dsp:nvSpPr>
      <dsp:spPr>
        <a:xfrm>
          <a:off x="0" y="7723"/>
          <a:ext cx="1617219" cy="374400"/>
        </a:xfrm>
        <a:prstGeom prst="rect">
          <a:avLst/>
        </a:prstGeom>
        <a:solidFill>
          <a:schemeClr val="lt1">
            <a:hueOff val="0"/>
            <a:satOff val="0"/>
            <a:lumOff val="0"/>
            <a:alphaOff val="0"/>
          </a:schemeClr>
        </a:solidFill>
        <a:ln w="12700" cap="flat" cmpd="sng" algn="ctr">
          <a:solidFill>
            <a:schemeClr val="dk2">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52832" rIns="92456" bIns="52832" numCol="1" spcCol="1270" anchor="ctr" anchorCtr="0">
          <a:noAutofit/>
        </a:bodyPr>
        <a:lstStyle/>
        <a:p>
          <a:pPr marL="0" lvl="0" indent="0" algn="ctr" defTabSz="577850">
            <a:lnSpc>
              <a:spcPct val="90000"/>
            </a:lnSpc>
            <a:spcBef>
              <a:spcPct val="0"/>
            </a:spcBef>
            <a:spcAft>
              <a:spcPct val="35000"/>
            </a:spcAft>
            <a:buNone/>
          </a:pPr>
          <a:r>
            <a:rPr kumimoji="1" lang="en-US" altLang="ja-JP" sz="1300" kern="1200"/>
            <a:t>Study Period</a:t>
          </a:r>
          <a:endParaRPr kumimoji="1" lang="ja-JP" altLang="en-US" sz="1300" kern="1200"/>
        </a:p>
      </dsp:txBody>
      <dsp:txXfrm>
        <a:off x="0" y="7723"/>
        <a:ext cx="1617219" cy="374400"/>
      </dsp:txXfrm>
    </dsp:sp>
    <dsp:sp modelId="{5E970198-A70B-4C07-ADB9-1EF76AEBFDF2}">
      <dsp:nvSpPr>
        <dsp:cNvPr id="0" name=""/>
        <dsp:cNvSpPr/>
      </dsp:nvSpPr>
      <dsp:spPr>
        <a:xfrm>
          <a:off x="0" y="382123"/>
          <a:ext cx="1617219" cy="1284660"/>
        </a:xfrm>
        <a:prstGeom prst="rect">
          <a:avLst/>
        </a:prstGeom>
        <a:solidFill>
          <a:schemeClr val="lt1">
            <a:alpha val="90000"/>
            <a:tint val="40000"/>
            <a:hueOff val="0"/>
            <a:satOff val="0"/>
            <a:lumOff val="0"/>
            <a:alphaOff val="0"/>
          </a:schemeClr>
        </a:solidFill>
        <a:ln w="12700" cap="flat" cmpd="sng" algn="ctr">
          <a:solidFill>
            <a:schemeClr val="dk2">
              <a:alpha val="9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69342" tIns="69342" rIns="92456" bIns="104013" numCol="1" spcCol="1270" anchor="t" anchorCtr="0">
          <a:noAutofit/>
        </a:bodyPr>
        <a:lstStyle/>
        <a:p>
          <a:pPr marL="114300" lvl="1" indent="-114300" algn="l" defTabSz="577850">
            <a:lnSpc>
              <a:spcPct val="90000"/>
            </a:lnSpc>
            <a:spcBef>
              <a:spcPct val="0"/>
            </a:spcBef>
            <a:spcAft>
              <a:spcPct val="15000"/>
            </a:spcAft>
            <a:buChar char="•"/>
          </a:pPr>
          <a:r>
            <a:rPr kumimoji="1" lang="en-US" altLang="ja-JP" sz="1300" kern="1200"/>
            <a:t>1:  8:50 -</a:t>
          </a:r>
          <a:r>
            <a:rPr kumimoji="1" lang="ja-JP" altLang="en-US" sz="1300" kern="1200"/>
            <a:t> </a:t>
          </a:r>
          <a:r>
            <a:rPr kumimoji="1" lang="en-US" altLang="ja-JP" sz="1300" kern="1200"/>
            <a:t>10:20</a:t>
          </a:r>
          <a:r>
            <a:rPr kumimoji="1" lang="ja-JP" altLang="en-US" sz="1300" kern="1200"/>
            <a:t>　</a:t>
          </a:r>
        </a:p>
        <a:p>
          <a:pPr marL="114300" lvl="1" indent="-114300" algn="l" defTabSz="577850">
            <a:lnSpc>
              <a:spcPct val="90000"/>
            </a:lnSpc>
            <a:spcBef>
              <a:spcPct val="0"/>
            </a:spcBef>
            <a:spcAft>
              <a:spcPct val="15000"/>
            </a:spcAft>
            <a:buChar char="•"/>
          </a:pPr>
          <a:r>
            <a:rPr kumimoji="1" lang="en-US" altLang="ja-JP" sz="1300" kern="1200"/>
            <a:t>2: 10:30 - 12:00</a:t>
          </a:r>
          <a:endParaRPr kumimoji="1" lang="ja-JP" altLang="en-US" sz="1300" kern="1200"/>
        </a:p>
        <a:p>
          <a:pPr marL="114300" lvl="1" indent="-114300" algn="l" defTabSz="577850">
            <a:lnSpc>
              <a:spcPct val="90000"/>
            </a:lnSpc>
            <a:spcBef>
              <a:spcPct val="0"/>
            </a:spcBef>
            <a:spcAft>
              <a:spcPct val="15000"/>
            </a:spcAft>
            <a:buChar char="•"/>
          </a:pPr>
          <a:r>
            <a:rPr kumimoji="1" lang="en-US" altLang="ja-JP" sz="1300" kern="1200"/>
            <a:t>3: 13:30 - 15:00</a:t>
          </a:r>
          <a:endParaRPr kumimoji="1" lang="ja-JP" altLang="en-US" sz="1300" kern="1200"/>
        </a:p>
        <a:p>
          <a:pPr marL="114300" lvl="1" indent="-114300" algn="l" defTabSz="577850">
            <a:lnSpc>
              <a:spcPct val="90000"/>
            </a:lnSpc>
            <a:spcBef>
              <a:spcPct val="0"/>
            </a:spcBef>
            <a:spcAft>
              <a:spcPct val="15000"/>
            </a:spcAft>
            <a:buChar char="•"/>
          </a:pPr>
          <a:r>
            <a:rPr kumimoji="1" lang="en-US" altLang="ja-JP" sz="1300" kern="1200"/>
            <a:t>4: 15:10 - 16:40</a:t>
          </a:r>
          <a:endParaRPr kumimoji="1" lang="ja-JP" altLang="en-US" sz="1300" kern="1200"/>
        </a:p>
        <a:p>
          <a:pPr marL="114300" lvl="1" indent="-114300" algn="l" defTabSz="577850">
            <a:lnSpc>
              <a:spcPct val="90000"/>
            </a:lnSpc>
            <a:spcBef>
              <a:spcPct val="0"/>
            </a:spcBef>
            <a:spcAft>
              <a:spcPct val="15000"/>
            </a:spcAft>
            <a:buChar char="•"/>
          </a:pPr>
          <a:r>
            <a:rPr kumimoji="1" lang="en-US" altLang="ja-JP" sz="1300" kern="1200"/>
            <a:t>5: 16:50 - 18:20</a:t>
          </a:r>
          <a:endParaRPr kumimoji="1" lang="ja-JP" altLang="en-US" sz="1300" kern="1200"/>
        </a:p>
      </dsp:txBody>
      <dsp:txXfrm>
        <a:off x="0" y="382123"/>
        <a:ext cx="1617219" cy="1284660"/>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http://www.osaka-u.ac.jp/en/access/buss.html" TargetMode="External"/><Relationship Id="rId3" Type="http://schemas.openxmlformats.org/officeDocument/2006/relationships/diagramQuickStyle" Target="../diagrams/quickStyle1.xml"/><Relationship Id="rId7" Type="http://schemas.openxmlformats.org/officeDocument/2006/relationships/image" Target="../media/image1.wmf"/><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http://www.osaka-u.ac.jp/en/guide/international_students/inbound/d.html" TargetMode="External"/><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14</xdr:col>
      <xdr:colOff>83820</xdr:colOff>
      <xdr:row>90</xdr:row>
      <xdr:rowOff>0</xdr:rowOff>
    </xdr:from>
    <xdr:to>
      <xdr:col>15</xdr:col>
      <xdr:colOff>144780</xdr:colOff>
      <xdr:row>93</xdr:row>
      <xdr:rowOff>115703</xdr:rowOff>
    </xdr:to>
    <xdr:sp macro="" textlink="">
      <xdr:nvSpPr>
        <xdr:cNvPr id="2" name="AutoShape 247">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17762220" y="16659225"/>
          <a:ext cx="632460" cy="5841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245745</xdr:colOff>
      <xdr:row>51</xdr:row>
      <xdr:rowOff>161925</xdr:rowOff>
    </xdr:from>
    <xdr:to>
      <xdr:col>15</xdr:col>
      <xdr:colOff>958089</xdr:colOff>
      <xdr:row>61</xdr:row>
      <xdr:rowOff>36206</xdr:rowOff>
    </xdr:to>
    <xdr:graphicFrame macro="">
      <xdr:nvGraphicFramePr>
        <xdr:cNvPr id="3" name="図表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15</xdr:col>
      <xdr:colOff>1259542</xdr:colOff>
      <xdr:row>50</xdr:row>
      <xdr:rowOff>100853</xdr:rowOff>
    </xdr:from>
    <xdr:to>
      <xdr:col>18</xdr:col>
      <xdr:colOff>335281</xdr:colOff>
      <xdr:row>53</xdr:row>
      <xdr:rowOff>6724</xdr:rowOff>
    </xdr:to>
    <xdr:grpSp>
      <xdr:nvGrpSpPr>
        <xdr:cNvPr id="4" name="グループ化 10">
          <a:extLst>
            <a:ext uri="{FF2B5EF4-FFF2-40B4-BE49-F238E27FC236}">
              <a16:creationId xmlns:a16="http://schemas.microsoft.com/office/drawing/2014/main" id="{00000000-0008-0000-0000-000004000000}"/>
            </a:ext>
          </a:extLst>
        </xdr:cNvPr>
        <xdr:cNvGrpSpPr>
          <a:grpSpLocks/>
        </xdr:cNvGrpSpPr>
      </xdr:nvGrpSpPr>
      <xdr:grpSpPr bwMode="auto">
        <a:xfrm>
          <a:off x="21119167" y="8530478"/>
          <a:ext cx="6838614" cy="429746"/>
          <a:chOff x="11744324" y="10277475"/>
          <a:chExt cx="4772025" cy="619125"/>
        </a:xfrm>
      </xdr:grpSpPr>
      <xdr:sp macro="" textlink="">
        <xdr:nvSpPr>
          <xdr:cNvPr id="5" name="角丸四角形 4">
            <a:hlinkClick xmlns:r="http://schemas.openxmlformats.org/officeDocument/2006/relationships" r:id="rId6"/>
            <a:extLst>
              <a:ext uri="{FF2B5EF4-FFF2-40B4-BE49-F238E27FC236}">
                <a16:creationId xmlns:a16="http://schemas.microsoft.com/office/drawing/2014/main" id="{00000000-0008-0000-0000-000005000000}"/>
              </a:ext>
            </a:extLst>
          </xdr:cNvPr>
          <xdr:cNvSpPr/>
        </xdr:nvSpPr>
        <xdr:spPr bwMode="auto">
          <a:xfrm>
            <a:off x="11744324" y="10277475"/>
            <a:ext cx="4772025" cy="6191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lvl="3" algn="l">
              <a:lnSpc>
                <a:spcPts val="900"/>
              </a:lnSpc>
            </a:pPr>
            <a:r>
              <a:rPr kumimoji="1" lang="en-US" altLang="ja-JP" sz="1100" b="1"/>
              <a:t>Campus Map</a:t>
            </a:r>
          </a:p>
          <a:p>
            <a:pPr marL="1371600" marR="0" lvl="3" indent="0" defTabSz="914400" eaLnBrk="1" fontAlgn="auto" latinLnBrk="0" hangingPunct="1">
              <a:lnSpc>
                <a:spcPts val="11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http://www.osaka-u.ac.jp/en/access/index.html</a:t>
            </a:r>
            <a:endParaRPr lang="ja-JP" altLang="ja-JP">
              <a:effectLst/>
            </a:endParaRPr>
          </a:p>
        </xdr:txBody>
      </xdr:sp>
      <xdr:pic>
        <xdr:nvPicPr>
          <xdr:cNvPr id="6" name="図 5" descr="C:\Documents and Settings\u212022k\Local Settings\Temporary Internet Files\Content.IE5\JDUFN8B7\MC900319484[1].wm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7"/>
          <a:srcRect/>
          <a:stretch>
            <a:fillRect/>
          </a:stretch>
        </xdr:blipFill>
        <xdr:spPr bwMode="auto">
          <a:xfrm>
            <a:off x="11972495" y="10342267"/>
            <a:ext cx="671473" cy="489541"/>
          </a:xfrm>
          <a:prstGeom prst="rect">
            <a:avLst/>
          </a:prstGeom>
          <a:ln>
            <a:noFill/>
          </a:ln>
          <a:effectLst>
            <a:outerShdw blurRad="292100" dist="139700" dir="2700000" algn="tl" rotWithShape="0">
              <a:srgbClr val="333333">
                <a:alpha val="65000"/>
              </a:srgbClr>
            </a:outerShdw>
          </a:effectLst>
        </xdr:spPr>
      </xdr:pic>
    </xdr:grpSp>
    <xdr:clientData/>
  </xdr:twoCellAnchor>
  <xdr:twoCellAnchor>
    <xdr:from>
      <xdr:col>15</xdr:col>
      <xdr:colOff>1257300</xdr:colOff>
      <xdr:row>53</xdr:row>
      <xdr:rowOff>125059</xdr:rowOff>
    </xdr:from>
    <xdr:to>
      <xdr:col>18</xdr:col>
      <xdr:colOff>342900</xdr:colOff>
      <xdr:row>58</xdr:row>
      <xdr:rowOff>133350</xdr:rowOff>
    </xdr:to>
    <xdr:grpSp>
      <xdr:nvGrpSpPr>
        <xdr:cNvPr id="7" name="グループ化 16">
          <a:extLst>
            <a:ext uri="{FF2B5EF4-FFF2-40B4-BE49-F238E27FC236}">
              <a16:creationId xmlns:a16="http://schemas.microsoft.com/office/drawing/2014/main" id="{00000000-0008-0000-0000-000007000000}"/>
            </a:ext>
          </a:extLst>
        </xdr:cNvPr>
        <xdr:cNvGrpSpPr>
          <a:grpSpLocks/>
        </xdr:cNvGrpSpPr>
      </xdr:nvGrpSpPr>
      <xdr:grpSpPr bwMode="auto">
        <a:xfrm>
          <a:off x="21116925" y="9078559"/>
          <a:ext cx="6848475" cy="881416"/>
          <a:chOff x="11772900" y="8753475"/>
          <a:chExt cx="4772025" cy="619125"/>
        </a:xfrm>
      </xdr:grpSpPr>
      <xdr:sp macro="" textlink="">
        <xdr:nvSpPr>
          <xdr:cNvPr id="8" name="角丸四角形 7">
            <a:hlinkClick xmlns:r="http://schemas.openxmlformats.org/officeDocument/2006/relationships" r:id="rId8"/>
            <a:extLst>
              <a:ext uri="{FF2B5EF4-FFF2-40B4-BE49-F238E27FC236}">
                <a16:creationId xmlns:a16="http://schemas.microsoft.com/office/drawing/2014/main" id="{00000000-0008-0000-0000-000008000000}"/>
              </a:ext>
            </a:extLst>
          </xdr:cNvPr>
          <xdr:cNvSpPr/>
        </xdr:nvSpPr>
        <xdr:spPr bwMode="auto">
          <a:xfrm>
            <a:off x="11772900" y="8753475"/>
            <a:ext cx="4772025" cy="619125"/>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ctr" upright="1"/>
          <a:lstStyle/>
          <a:p>
            <a:pPr lvl="3" algn="l"/>
            <a:r>
              <a:rPr kumimoji="1" lang="en-US" altLang="ja-JP" sz="1100" b="1"/>
              <a:t>Inter</a:t>
            </a:r>
            <a:r>
              <a:rPr kumimoji="1" lang="en-US" altLang="ja-JP" sz="1100" b="1" baseline="0"/>
              <a:t> Campus Shuttle Bus</a:t>
            </a:r>
            <a:endParaRPr kumimoji="1" lang="en-US" altLang="ja-JP" sz="1100" b="1"/>
          </a:p>
          <a:p>
            <a:pPr lvl="3"/>
            <a:r>
              <a:rPr kumimoji="1" lang="en-US" altLang="ja-JP" sz="1100">
                <a:solidFill>
                  <a:schemeClr val="dk1"/>
                </a:solidFill>
                <a:effectLst/>
                <a:latin typeface="+mn-lt"/>
                <a:ea typeface="+mn-ea"/>
                <a:cs typeface="+mn-cs"/>
              </a:rPr>
              <a:t>http://www.osaka-u.ac.jp/en/access/bus.html</a:t>
            </a:r>
            <a:endParaRPr lang="ja-JP" altLang="ja-JP">
              <a:effectLst/>
            </a:endParaRPr>
          </a:p>
        </xdr:txBody>
      </xdr:sp>
      <xdr:pic>
        <xdr:nvPicPr>
          <xdr:cNvPr id="9" name="図 42" descr="C:\Documents and Settings\u212022k\Local Settings\Temporary Internet Files\Content.IE5\10JOT1AM\MC900346863[1].wm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001500" y="8891587"/>
            <a:ext cx="702369"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15</xdr:col>
      <xdr:colOff>1258533</xdr:colOff>
      <xdr:row>59</xdr:row>
      <xdr:rowOff>114860</xdr:rowOff>
    </xdr:from>
    <xdr:to>
      <xdr:col>18</xdr:col>
      <xdr:colOff>340073</xdr:colOff>
      <xdr:row>67</xdr:row>
      <xdr:rowOff>150159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bwMode="auto">
        <a:xfrm>
          <a:off x="21222933" y="10611410"/>
          <a:ext cx="6872990" cy="1387849"/>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r>
            <a:rPr kumimoji="1" lang="en-US" altLang="ja-JP" sz="1100">
              <a:solidFill>
                <a:schemeClr val="dk1"/>
              </a:solidFill>
              <a:effectLst/>
              <a:latin typeface="+mn-lt"/>
              <a:ea typeface="+mn-ea"/>
              <a:cs typeface="+mn-cs"/>
            </a:rPr>
            <a:t>HUS: (Suita) School</a:t>
          </a:r>
          <a:r>
            <a:rPr kumimoji="1" lang="en-US" altLang="ja-JP" sz="1100" baseline="0">
              <a:solidFill>
                <a:schemeClr val="dk1"/>
              </a:solidFill>
              <a:effectLst/>
              <a:latin typeface="+mn-lt"/>
              <a:ea typeface="+mn-ea"/>
              <a:cs typeface="+mn-cs"/>
            </a:rPr>
            <a:t> /Graguate School of Human Sciences</a:t>
          </a:r>
          <a:endParaRPr lang="ja-JP" altLang="ja-JP">
            <a:effectLst/>
          </a:endParaRPr>
        </a:p>
        <a:p>
          <a:pPr eaLnBrk="1" fontAlgn="auto" latinLnBrk="0" hangingPunct="1"/>
          <a:r>
            <a:rPr kumimoji="1" lang="en-US" altLang="ja-JP" sz="1100">
              <a:solidFill>
                <a:schemeClr val="dk1"/>
              </a:solidFill>
              <a:effectLst/>
              <a:latin typeface="+mn-lt"/>
              <a:ea typeface="+mn-ea"/>
              <a:cs typeface="+mn-cs"/>
            </a:rPr>
            <a:t>CELAS: (Toyonaka)</a:t>
          </a:r>
          <a:r>
            <a:rPr lang="en-US" altLang="ja-JP" sz="1100">
              <a:solidFill>
                <a:schemeClr val="dk1"/>
              </a:solidFill>
              <a:effectLst/>
              <a:latin typeface="+mn-lt"/>
              <a:ea typeface="+mn-ea"/>
              <a:cs typeface="+mn-cs"/>
            </a:rPr>
            <a:t>Center for Education in Liberal Arts and Sciences</a:t>
          </a:r>
          <a:endParaRPr lang="ja-JP" altLang="ja-JP">
            <a:effectLst/>
          </a:endParaRPr>
        </a:p>
        <a:p>
          <a:r>
            <a:rPr kumimoji="1" lang="en-US" altLang="ja-JP" sz="1100">
              <a:solidFill>
                <a:schemeClr val="dk1"/>
              </a:solidFill>
              <a:effectLst/>
              <a:latin typeface="+mn-lt"/>
              <a:ea typeface="+mn-ea"/>
              <a:cs typeface="+mn-cs"/>
            </a:rPr>
            <a:t>Lecture Bld(Let.Law.Econ)</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(Toyonaka)</a:t>
          </a:r>
          <a:r>
            <a:rPr kumimoji="1" lang="en-US" altLang="ja-JP" sz="1100" baseline="0">
              <a:solidFill>
                <a:schemeClr val="dk1"/>
              </a:solidFill>
              <a:effectLst/>
              <a:latin typeface="+mn-lt"/>
              <a:ea typeface="+mn-ea"/>
              <a:cs typeface="+mn-cs"/>
            </a:rPr>
            <a:t> </a:t>
          </a:r>
          <a:r>
            <a:rPr lang="en-US" altLang="ja-JP" sz="1100">
              <a:solidFill>
                <a:schemeClr val="dk1"/>
              </a:solidFill>
              <a:effectLst/>
              <a:latin typeface="+mn-lt"/>
              <a:ea typeface="+mn-ea"/>
              <a:cs typeface="+mn-cs"/>
            </a:rPr>
            <a:t>Letters, Law and Economics Building</a:t>
          </a:r>
          <a:endParaRPr lang="ja-JP" altLang="ja-JP">
            <a:effectLst/>
          </a:endParaRPr>
        </a:p>
        <a:p>
          <a:r>
            <a:rPr lang="en-US" altLang="ja-JP" sz="1100">
              <a:solidFill>
                <a:schemeClr val="dk1"/>
              </a:solidFill>
              <a:effectLst/>
              <a:latin typeface="+mn-lt"/>
              <a:ea typeface="+mn-ea"/>
              <a:cs typeface="+mn-cs"/>
            </a:rPr>
            <a:t>Lecture Bld(Law.Econ)</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(Toyonaka)Graduate School of Law and Graduate School of Economics/Lecture Building</a:t>
          </a:r>
          <a:endParaRPr lang="ja-JP" altLang="ja-JP">
            <a:effectLst/>
          </a:endParaRPr>
        </a:p>
        <a:p>
          <a:pPr eaLnBrk="1" fontAlgn="auto" latinLnBrk="0" hangingPunct="1"/>
          <a:r>
            <a:rPr kumimoji="1" lang="en-US" altLang="ja-JP" sz="1100">
              <a:solidFill>
                <a:schemeClr val="dk1"/>
              </a:solidFill>
              <a:effectLst/>
              <a:latin typeface="+mn-lt"/>
              <a:ea typeface="+mn-ea"/>
              <a:cs typeface="+mn-cs"/>
            </a:rPr>
            <a:t>Research Bld(Law.Econ)</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(Toyonaka)Graduate School of Law and Graduate School of Economics/Research Building </a:t>
          </a:r>
          <a:endParaRPr lang="ja-JP" altLang="ja-JP">
            <a:effectLst/>
          </a:endParaRPr>
        </a:p>
        <a:p>
          <a:pPr eaLnBrk="1" fontAlgn="auto" latinLnBrk="0" hangingPunct="1"/>
          <a:r>
            <a:rPr kumimoji="1" lang="en-US" altLang="ja-JP" sz="1100">
              <a:solidFill>
                <a:schemeClr val="dk1"/>
              </a:solidFill>
              <a:effectLst/>
              <a:latin typeface="+mn-lt"/>
              <a:ea typeface="+mn-ea"/>
              <a:cs typeface="+mn-cs"/>
            </a:rPr>
            <a:t>OSIPP:(Toyonaka)Osaka</a:t>
          </a:r>
          <a:r>
            <a:rPr kumimoji="1" lang="en-US" altLang="ja-JP" sz="1100" baseline="0">
              <a:solidFill>
                <a:schemeClr val="dk1"/>
              </a:solidFill>
              <a:effectLst/>
              <a:latin typeface="+mn-lt"/>
              <a:ea typeface="+mn-ea"/>
              <a:cs typeface="+mn-cs"/>
            </a:rPr>
            <a:t> School of </a:t>
          </a:r>
          <a:r>
            <a:rPr kumimoji="1" lang="en-US" altLang="ja-JP" sz="1100">
              <a:solidFill>
                <a:schemeClr val="dk1"/>
              </a:solidFill>
              <a:effectLst/>
              <a:latin typeface="+mn-lt"/>
              <a:ea typeface="+mn-ea"/>
              <a:cs typeface="+mn-cs"/>
            </a:rPr>
            <a:t>International Public Policy </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Y100"/>
  <sheetViews>
    <sheetView showGridLines="0" tabSelected="1" zoomScale="60" zoomScaleNormal="60" zoomScalePageLayoutView="85" workbookViewId="0">
      <pane xSplit="1" ySplit="5" topLeftCell="B6" activePane="bottomRight" state="frozen"/>
      <selection pane="topRight" activeCell="B1" sqref="B1"/>
      <selection pane="bottomLeft" activeCell="A3" sqref="A3"/>
      <selection pane="bottomRight" sqref="A1:A5"/>
    </sheetView>
  </sheetViews>
  <sheetFormatPr defaultColWidth="9" defaultRowHeight="13.5" x14ac:dyDescent="0.15"/>
  <cols>
    <col min="1" max="1" width="6.5" style="2" customWidth="1"/>
    <col min="2" max="2" width="4.375" style="38" customWidth="1"/>
    <col min="3" max="3" width="7.125" style="2" customWidth="1"/>
    <col min="4" max="4" width="46.125" style="2" customWidth="1"/>
    <col min="5" max="5" width="21.875" style="24" customWidth="1"/>
    <col min="6" max="6" width="31.625" style="24" customWidth="1"/>
    <col min="7" max="7" width="11" style="24" customWidth="1"/>
    <col min="8" max="8" width="4.375" style="38" customWidth="1"/>
    <col min="9" max="9" width="7.5" style="2" customWidth="1"/>
    <col min="10" max="10" width="42.125" style="2" customWidth="1"/>
    <col min="11" max="11" width="21.875" style="24" customWidth="1"/>
    <col min="12" max="12" width="34.125" style="24" customWidth="1"/>
    <col min="13" max="13" width="10.125" style="24" customWidth="1"/>
    <col min="14" max="14" width="4.375" style="21" customWidth="1"/>
    <col min="15" max="15" width="7.5" style="2" customWidth="1"/>
    <col min="16" max="16" width="44.625" style="2" customWidth="1"/>
    <col min="17" max="17" width="21.875" style="24" customWidth="1"/>
    <col min="18" max="18" width="35.5" style="24" customWidth="1"/>
    <col min="19" max="19" width="11.5" style="2" customWidth="1"/>
    <col min="20" max="16384" width="9" style="2"/>
  </cols>
  <sheetData>
    <row r="1" spans="1:25" ht="23.25" thickBot="1" x14ac:dyDescent="0.35">
      <c r="A1" s="530" t="s">
        <v>316</v>
      </c>
      <c r="B1" s="72"/>
      <c r="C1" s="72"/>
      <c r="D1" s="240"/>
      <c r="E1" s="72"/>
      <c r="F1" s="72"/>
      <c r="G1" s="72"/>
      <c r="H1" s="72"/>
      <c r="I1" s="72"/>
      <c r="J1" s="356" t="s">
        <v>128</v>
      </c>
      <c r="K1" s="357"/>
      <c r="L1" s="357"/>
      <c r="M1" s="357"/>
      <c r="N1" s="357"/>
      <c r="O1" s="357"/>
      <c r="P1" s="357"/>
      <c r="Q1" s="72"/>
      <c r="R1" s="72"/>
      <c r="S1" s="72"/>
      <c r="T1" s="72"/>
      <c r="U1" s="72"/>
      <c r="V1" s="72"/>
      <c r="W1" s="72"/>
      <c r="X1" s="72"/>
      <c r="Y1" s="72"/>
    </row>
    <row r="2" spans="1:25" ht="22.5" x14ac:dyDescent="0.3">
      <c r="A2" s="530"/>
      <c r="B2" s="479" t="s">
        <v>37</v>
      </c>
      <c r="C2" s="479"/>
      <c r="D2" s="479"/>
      <c r="E2" s="386"/>
      <c r="F2" s="386"/>
      <c r="G2" s="386"/>
      <c r="H2" s="386"/>
      <c r="I2" s="386"/>
      <c r="J2" s="72"/>
      <c r="K2" s="72"/>
      <c r="L2" s="73"/>
      <c r="M2" s="73"/>
      <c r="N2" s="73"/>
      <c r="O2" s="73"/>
      <c r="P2" s="73"/>
      <c r="Q2" s="72"/>
      <c r="R2" s="72"/>
    </row>
    <row r="3" spans="1:25" ht="22.5" x14ac:dyDescent="0.3">
      <c r="A3" s="530"/>
      <c r="B3" s="480" t="s">
        <v>38</v>
      </c>
      <c r="C3" s="480"/>
      <c r="D3" s="480"/>
      <c r="E3" s="386"/>
      <c r="F3" s="386"/>
      <c r="G3" s="386"/>
      <c r="H3" s="386"/>
      <c r="I3" s="386"/>
      <c r="J3" s="72"/>
      <c r="K3" s="72"/>
      <c r="L3" s="73"/>
      <c r="M3" s="73"/>
      <c r="N3" s="73"/>
      <c r="O3" s="73"/>
      <c r="P3" s="73"/>
      <c r="Q3" s="72"/>
      <c r="R3" s="72"/>
    </row>
    <row r="4" spans="1:25" ht="22.5" x14ac:dyDescent="0.3">
      <c r="A4" s="530"/>
      <c r="B4" s="480" t="s">
        <v>39</v>
      </c>
      <c r="C4" s="480"/>
      <c r="D4" s="480"/>
      <c r="E4" s="386"/>
      <c r="F4" s="386"/>
      <c r="G4" s="386"/>
      <c r="H4" s="386"/>
      <c r="I4" s="386"/>
      <c r="J4" s="72"/>
      <c r="K4" s="72"/>
      <c r="L4" s="73"/>
      <c r="M4" s="73"/>
      <c r="N4" s="73"/>
      <c r="O4" s="73"/>
      <c r="P4" s="73"/>
      <c r="Q4" s="72"/>
      <c r="R4" s="72"/>
    </row>
    <row r="5" spans="1:25" ht="22.5" x14ac:dyDescent="0.3">
      <c r="A5" s="530"/>
      <c r="B5" s="480" t="s">
        <v>40</v>
      </c>
      <c r="C5" s="480"/>
      <c r="D5" s="480"/>
      <c r="E5" s="386"/>
      <c r="F5" s="386"/>
      <c r="G5" s="386"/>
      <c r="H5" s="386"/>
      <c r="I5" s="386"/>
      <c r="J5" s="72"/>
      <c r="K5" s="72"/>
      <c r="L5" s="73"/>
      <c r="M5" s="73"/>
      <c r="N5" s="73"/>
      <c r="O5" s="73"/>
      <c r="P5" s="73"/>
      <c r="Q5" s="72"/>
      <c r="R5" s="72"/>
    </row>
    <row r="6" spans="1:25" s="230" customFormat="1" ht="23.25" thickBot="1" x14ac:dyDescent="0.35">
      <c r="B6" s="221"/>
      <c r="C6" s="221"/>
      <c r="D6" s="221"/>
      <c r="E6" s="226"/>
      <c r="F6" s="226"/>
      <c r="G6" s="226"/>
      <c r="H6" s="226"/>
      <c r="I6" s="226"/>
      <c r="J6" s="240"/>
      <c r="K6" s="240"/>
      <c r="L6" s="241"/>
      <c r="M6" s="241"/>
      <c r="N6" s="241"/>
      <c r="O6" s="241"/>
      <c r="P6" s="241"/>
      <c r="Q6" s="240"/>
      <c r="R6" s="240"/>
    </row>
    <row r="7" spans="1:25" s="4" customFormat="1" ht="12" thickBot="1" x14ac:dyDescent="0.2">
      <c r="A7" s="3"/>
      <c r="B7" s="456" t="s">
        <v>22</v>
      </c>
      <c r="C7" s="471"/>
      <c r="D7" s="471"/>
      <c r="E7" s="471"/>
      <c r="F7" s="471"/>
      <c r="G7" s="472"/>
      <c r="H7" s="456" t="s">
        <v>10</v>
      </c>
      <c r="I7" s="471"/>
      <c r="J7" s="471"/>
      <c r="K7" s="471"/>
      <c r="L7" s="471"/>
      <c r="M7" s="472"/>
      <c r="N7" s="456" t="s">
        <v>11</v>
      </c>
      <c r="O7" s="471"/>
      <c r="P7" s="471"/>
      <c r="Q7" s="471"/>
      <c r="R7" s="471"/>
      <c r="S7" s="481"/>
    </row>
    <row r="8" spans="1:25" s="7" customFormat="1" ht="23.25" thickBot="1" x14ac:dyDescent="0.2">
      <c r="A8" s="61" t="s">
        <v>23</v>
      </c>
      <c r="B8" s="62" t="s">
        <v>25</v>
      </c>
      <c r="C8" s="63" t="s">
        <v>16</v>
      </c>
      <c r="D8" s="64" t="s">
        <v>17</v>
      </c>
      <c r="E8" s="65" t="s">
        <v>18</v>
      </c>
      <c r="F8" s="69" t="s">
        <v>26</v>
      </c>
      <c r="G8" s="99" t="s">
        <v>36</v>
      </c>
      <c r="H8" s="62" t="s">
        <v>27</v>
      </c>
      <c r="I8" s="63" t="s">
        <v>16</v>
      </c>
      <c r="J8" s="64" t="s">
        <v>17</v>
      </c>
      <c r="K8" s="65" t="s">
        <v>18</v>
      </c>
      <c r="L8" s="69" t="s">
        <v>28</v>
      </c>
      <c r="M8" s="99" t="s">
        <v>36</v>
      </c>
      <c r="N8" s="62" t="s">
        <v>24</v>
      </c>
      <c r="O8" s="5" t="s">
        <v>16</v>
      </c>
      <c r="P8" s="64" t="s">
        <v>17</v>
      </c>
      <c r="Q8" s="65" t="s">
        <v>29</v>
      </c>
      <c r="R8" s="66" t="s">
        <v>19</v>
      </c>
      <c r="S8" s="75" t="s">
        <v>36</v>
      </c>
    </row>
    <row r="9" spans="1:25" s="11" customFormat="1" ht="11.25" x14ac:dyDescent="0.15">
      <c r="A9" s="328">
        <v>1</v>
      </c>
      <c r="B9" s="482"/>
      <c r="C9" s="483"/>
      <c r="D9" s="6"/>
      <c r="E9" s="42"/>
      <c r="F9" s="71"/>
      <c r="G9" s="380"/>
      <c r="H9" s="484" t="s">
        <v>66</v>
      </c>
      <c r="I9" s="355" t="s">
        <v>72</v>
      </c>
      <c r="J9" s="301" t="s">
        <v>150</v>
      </c>
      <c r="K9" s="302" t="s">
        <v>64</v>
      </c>
      <c r="L9" s="302" t="s">
        <v>151</v>
      </c>
      <c r="M9" s="387" t="s">
        <v>309</v>
      </c>
      <c r="N9" s="501" t="s">
        <v>66</v>
      </c>
      <c r="O9" s="473" t="s">
        <v>72</v>
      </c>
      <c r="P9" s="140" t="s">
        <v>150</v>
      </c>
      <c r="Q9" s="141" t="s">
        <v>214</v>
      </c>
      <c r="R9" s="269" t="s">
        <v>215</v>
      </c>
      <c r="S9" s="358" t="str">
        <f>IF($M9=0, "", $M9)</f>
        <v>-</v>
      </c>
    </row>
    <row r="10" spans="1:25" s="7" customFormat="1" ht="11.25" x14ac:dyDescent="0.15">
      <c r="A10" s="329"/>
      <c r="B10" s="378"/>
      <c r="C10" s="474"/>
      <c r="D10" s="8"/>
      <c r="E10" s="9"/>
      <c r="F10" s="32"/>
      <c r="G10" s="381"/>
      <c r="H10" s="476"/>
      <c r="I10" s="351"/>
      <c r="J10" s="270" t="s">
        <v>152</v>
      </c>
      <c r="K10" s="269" t="s">
        <v>73</v>
      </c>
      <c r="L10" s="295" t="s">
        <v>153</v>
      </c>
      <c r="M10" s="388"/>
      <c r="N10" s="478"/>
      <c r="O10" s="351"/>
      <c r="P10" s="142" t="s">
        <v>152</v>
      </c>
      <c r="Q10" s="141" t="s">
        <v>216</v>
      </c>
      <c r="R10" s="295" t="s">
        <v>123</v>
      </c>
      <c r="S10" s="359"/>
    </row>
    <row r="11" spans="1:25" s="11" customFormat="1" ht="11.25" x14ac:dyDescent="0.15">
      <c r="A11" s="329"/>
      <c r="B11" s="378"/>
      <c r="C11" s="474"/>
      <c r="D11" s="12"/>
      <c r="E11" s="43"/>
      <c r="F11" s="70"/>
      <c r="G11" s="380"/>
      <c r="H11" s="475" t="s">
        <v>66</v>
      </c>
      <c r="I11" s="350" t="s">
        <v>74</v>
      </c>
      <c r="J11" s="271" t="s">
        <v>154</v>
      </c>
      <c r="K11" s="272" t="s">
        <v>64</v>
      </c>
      <c r="L11" s="272" t="s">
        <v>151</v>
      </c>
      <c r="M11" s="388" t="s">
        <v>309</v>
      </c>
      <c r="N11" s="477" t="s">
        <v>66</v>
      </c>
      <c r="O11" s="350" t="s">
        <v>74</v>
      </c>
      <c r="P11" s="143" t="s">
        <v>154</v>
      </c>
      <c r="Q11" s="144" t="s">
        <v>217</v>
      </c>
      <c r="R11" s="272" t="s">
        <v>218</v>
      </c>
      <c r="S11" s="359" t="str">
        <f>IF($M11=0, "", $M11)</f>
        <v>-</v>
      </c>
    </row>
    <row r="12" spans="1:25" s="7" customFormat="1" ht="11.25" x14ac:dyDescent="0.15">
      <c r="A12" s="329"/>
      <c r="B12" s="378"/>
      <c r="C12" s="474"/>
      <c r="D12" s="12"/>
      <c r="E12" s="9"/>
      <c r="F12" s="70"/>
      <c r="G12" s="381"/>
      <c r="H12" s="476"/>
      <c r="I12" s="351"/>
      <c r="J12" s="270" t="s">
        <v>155</v>
      </c>
      <c r="K12" s="269" t="s">
        <v>73</v>
      </c>
      <c r="L12" s="295" t="s">
        <v>153</v>
      </c>
      <c r="M12" s="388"/>
      <c r="N12" s="478"/>
      <c r="O12" s="351"/>
      <c r="P12" s="142" t="s">
        <v>155</v>
      </c>
      <c r="Q12" s="152" t="s">
        <v>219</v>
      </c>
      <c r="R12" s="295" t="s">
        <v>220</v>
      </c>
      <c r="S12" s="359"/>
    </row>
    <row r="13" spans="1:25" s="11" customFormat="1" ht="11.25" x14ac:dyDescent="0.15">
      <c r="A13" s="329"/>
      <c r="B13" s="378"/>
      <c r="C13" s="474"/>
      <c r="D13" s="12"/>
      <c r="E13" s="13"/>
      <c r="F13" s="32"/>
      <c r="G13" s="380"/>
      <c r="H13" s="475" t="s">
        <v>66</v>
      </c>
      <c r="I13" s="350" t="s">
        <v>75</v>
      </c>
      <c r="J13" s="271" t="s">
        <v>156</v>
      </c>
      <c r="K13" s="272" t="s">
        <v>157</v>
      </c>
      <c r="L13" s="272" t="s">
        <v>158</v>
      </c>
      <c r="M13" s="388" t="s">
        <v>309</v>
      </c>
      <c r="N13" s="477" t="s">
        <v>66</v>
      </c>
      <c r="O13" s="350" t="s">
        <v>75</v>
      </c>
      <c r="P13" s="140" t="s">
        <v>156</v>
      </c>
      <c r="Q13" s="141" t="s">
        <v>221</v>
      </c>
      <c r="R13" s="269" t="s">
        <v>222</v>
      </c>
      <c r="S13" s="359" t="str">
        <f>IF($M13=0, "", $M13)</f>
        <v>-</v>
      </c>
    </row>
    <row r="14" spans="1:25" s="7" customFormat="1" ht="11.25" x14ac:dyDescent="0.15">
      <c r="A14" s="329"/>
      <c r="B14" s="378"/>
      <c r="C14" s="474"/>
      <c r="D14" s="12"/>
      <c r="E14" s="13"/>
      <c r="F14" s="32"/>
      <c r="G14" s="381"/>
      <c r="H14" s="476"/>
      <c r="I14" s="351"/>
      <c r="J14" s="270" t="s">
        <v>159</v>
      </c>
      <c r="K14" s="269" t="s">
        <v>76</v>
      </c>
      <c r="L14" s="295" t="s">
        <v>160</v>
      </c>
      <c r="M14" s="388"/>
      <c r="N14" s="478"/>
      <c r="O14" s="351"/>
      <c r="P14" s="142" t="s">
        <v>159</v>
      </c>
      <c r="Q14" s="141" t="s">
        <v>223</v>
      </c>
      <c r="R14" s="295" t="s">
        <v>153</v>
      </c>
      <c r="S14" s="359"/>
    </row>
    <row r="15" spans="1:25" s="11" customFormat="1" ht="11.25" x14ac:dyDescent="0.15">
      <c r="A15" s="329"/>
      <c r="B15" s="378"/>
      <c r="C15" s="474"/>
      <c r="D15" s="12"/>
      <c r="E15" s="13"/>
      <c r="F15" s="70"/>
      <c r="G15" s="380"/>
      <c r="H15" s="502" t="s">
        <v>66</v>
      </c>
      <c r="I15" s="350" t="s">
        <v>77</v>
      </c>
      <c r="J15" s="271" t="s">
        <v>161</v>
      </c>
      <c r="K15" s="272" t="s">
        <v>157</v>
      </c>
      <c r="L15" s="272" t="s">
        <v>158</v>
      </c>
      <c r="M15" s="388" t="s">
        <v>309</v>
      </c>
      <c r="N15" s="375" t="s">
        <v>66</v>
      </c>
      <c r="O15" s="350" t="s">
        <v>77</v>
      </c>
      <c r="P15" s="143" t="s">
        <v>161</v>
      </c>
      <c r="Q15" s="144" t="s">
        <v>224</v>
      </c>
      <c r="R15" s="272" t="s">
        <v>225</v>
      </c>
      <c r="S15" s="359" t="str">
        <f>IF($M15=0, "", $M15)</f>
        <v>-</v>
      </c>
    </row>
    <row r="16" spans="1:25" s="11" customFormat="1" ht="11.25" x14ac:dyDescent="0.15">
      <c r="A16" s="329"/>
      <c r="B16" s="378"/>
      <c r="C16" s="474"/>
      <c r="D16" s="12"/>
      <c r="E16" s="13"/>
      <c r="F16" s="70"/>
      <c r="G16" s="381"/>
      <c r="H16" s="502"/>
      <c r="I16" s="351"/>
      <c r="J16" s="270" t="s">
        <v>162</v>
      </c>
      <c r="K16" s="269" t="s">
        <v>76</v>
      </c>
      <c r="L16" s="295" t="s">
        <v>163</v>
      </c>
      <c r="M16" s="388"/>
      <c r="N16" s="375"/>
      <c r="O16" s="351"/>
      <c r="P16" s="142" t="s">
        <v>162</v>
      </c>
      <c r="Q16" s="141" t="s">
        <v>226</v>
      </c>
      <c r="R16" s="295" t="s">
        <v>227</v>
      </c>
      <c r="S16" s="359"/>
    </row>
    <row r="17" spans="1:19" s="11" customFormat="1" ht="11.25" x14ac:dyDescent="0.15">
      <c r="A17" s="329"/>
      <c r="B17" s="74"/>
      <c r="C17" s="68"/>
      <c r="D17" s="12"/>
      <c r="E17" s="13"/>
      <c r="F17" s="70"/>
      <c r="G17" s="380"/>
      <c r="H17" s="502" t="s">
        <v>66</v>
      </c>
      <c r="I17" s="350" t="s">
        <v>78</v>
      </c>
      <c r="J17" s="273" t="s">
        <v>164</v>
      </c>
      <c r="K17" s="272" t="s">
        <v>165</v>
      </c>
      <c r="L17" s="272" t="s">
        <v>166</v>
      </c>
      <c r="M17" s="388" t="s">
        <v>309</v>
      </c>
      <c r="N17" s="375" t="s">
        <v>66</v>
      </c>
      <c r="O17" s="350" t="s">
        <v>78</v>
      </c>
      <c r="P17" s="145" t="s">
        <v>164</v>
      </c>
      <c r="Q17" s="148" t="s">
        <v>69</v>
      </c>
      <c r="R17" s="272" t="s">
        <v>228</v>
      </c>
      <c r="S17" s="359" t="str">
        <f>IF($M17=0, "", $M17)</f>
        <v>-</v>
      </c>
    </row>
    <row r="18" spans="1:19" s="7" customFormat="1" ht="11.25" x14ac:dyDescent="0.15">
      <c r="A18" s="329"/>
      <c r="B18" s="74"/>
      <c r="C18" s="68"/>
      <c r="D18" s="12"/>
      <c r="E18" s="13"/>
      <c r="F18" s="70"/>
      <c r="G18" s="381"/>
      <c r="H18" s="502"/>
      <c r="I18" s="351"/>
      <c r="J18" s="270" t="s">
        <v>167</v>
      </c>
      <c r="K18" s="269" t="s">
        <v>168</v>
      </c>
      <c r="L18" s="295" t="s">
        <v>169</v>
      </c>
      <c r="M18" s="388"/>
      <c r="N18" s="375"/>
      <c r="O18" s="351"/>
      <c r="P18" s="142" t="s">
        <v>167</v>
      </c>
      <c r="Q18" s="153" t="s">
        <v>13</v>
      </c>
      <c r="R18" s="295" t="s">
        <v>229</v>
      </c>
      <c r="S18" s="359"/>
    </row>
    <row r="19" spans="1:19" s="11" customFormat="1" ht="11.25" customHeight="1" x14ac:dyDescent="0.15">
      <c r="A19" s="329"/>
      <c r="B19" s="83"/>
      <c r="C19" s="68"/>
      <c r="D19" s="12"/>
      <c r="E19" s="13"/>
      <c r="F19" s="70"/>
      <c r="G19" s="380"/>
      <c r="H19" s="502" t="s">
        <v>66</v>
      </c>
      <c r="I19" s="350" t="s">
        <v>79</v>
      </c>
      <c r="J19" s="273" t="s">
        <v>170</v>
      </c>
      <c r="K19" s="272" t="s">
        <v>171</v>
      </c>
      <c r="L19" s="272" t="s">
        <v>172</v>
      </c>
      <c r="M19" s="388" t="s">
        <v>309</v>
      </c>
      <c r="N19" s="375" t="s">
        <v>66</v>
      </c>
      <c r="O19" s="350" t="s">
        <v>79</v>
      </c>
      <c r="P19" s="145" t="s">
        <v>170</v>
      </c>
      <c r="Q19" s="148" t="s">
        <v>69</v>
      </c>
      <c r="R19" s="272" t="s">
        <v>228</v>
      </c>
      <c r="S19" s="359" t="str">
        <f>IF($M19=0, "", $M19)</f>
        <v>-</v>
      </c>
    </row>
    <row r="20" spans="1:19" s="7" customFormat="1" ht="11.25" customHeight="1" x14ac:dyDescent="0.15">
      <c r="A20" s="329"/>
      <c r="B20" s="84"/>
      <c r="C20" s="68"/>
      <c r="D20" s="12"/>
      <c r="E20" s="13"/>
      <c r="F20" s="70"/>
      <c r="G20" s="381"/>
      <c r="H20" s="502"/>
      <c r="I20" s="351"/>
      <c r="J20" s="270" t="s">
        <v>173</v>
      </c>
      <c r="K20" s="269" t="s">
        <v>174</v>
      </c>
      <c r="L20" s="295" t="s">
        <v>123</v>
      </c>
      <c r="M20" s="388"/>
      <c r="N20" s="375"/>
      <c r="O20" s="351"/>
      <c r="P20" s="142" t="s">
        <v>173</v>
      </c>
      <c r="Q20" s="153" t="s">
        <v>13</v>
      </c>
      <c r="R20" s="295" t="s">
        <v>230</v>
      </c>
      <c r="S20" s="359"/>
    </row>
    <row r="21" spans="1:19" s="7" customFormat="1" ht="11.25" x14ac:dyDescent="0.15">
      <c r="A21" s="329"/>
      <c r="B21" s="83"/>
      <c r="C21" s="68"/>
      <c r="D21" s="12"/>
      <c r="E21" s="13"/>
      <c r="F21" s="70"/>
      <c r="G21" s="380"/>
      <c r="H21" s="502" t="s">
        <v>66</v>
      </c>
      <c r="I21" s="350" t="s">
        <v>80</v>
      </c>
      <c r="J21" s="273" t="s">
        <v>70</v>
      </c>
      <c r="K21" s="274" t="s">
        <v>175</v>
      </c>
      <c r="L21" s="272" t="s">
        <v>176</v>
      </c>
      <c r="M21" s="388" t="s">
        <v>309</v>
      </c>
      <c r="N21" s="375" t="s">
        <v>66</v>
      </c>
      <c r="O21" s="350" t="s">
        <v>80</v>
      </c>
      <c r="P21" s="145" t="s">
        <v>70</v>
      </c>
      <c r="Q21" s="146" t="s">
        <v>171</v>
      </c>
      <c r="R21" s="272" t="s">
        <v>231</v>
      </c>
      <c r="S21" s="359" t="str">
        <f>IF($M21=0, "", $M21)</f>
        <v>-</v>
      </c>
    </row>
    <row r="22" spans="1:19" s="7" customFormat="1" ht="11.25" x14ac:dyDescent="0.15">
      <c r="A22" s="329"/>
      <c r="B22" s="83"/>
      <c r="C22" s="68"/>
      <c r="D22" s="12"/>
      <c r="E22" s="13"/>
      <c r="F22" s="70"/>
      <c r="G22" s="381"/>
      <c r="H22" s="502"/>
      <c r="I22" s="351"/>
      <c r="J22" s="270" t="s">
        <v>177</v>
      </c>
      <c r="K22" s="275" t="s">
        <v>178</v>
      </c>
      <c r="L22" s="295" t="s">
        <v>179</v>
      </c>
      <c r="M22" s="388"/>
      <c r="N22" s="375"/>
      <c r="O22" s="351"/>
      <c r="P22" s="142" t="s">
        <v>177</v>
      </c>
      <c r="Q22" s="147" t="s">
        <v>232</v>
      </c>
      <c r="R22" s="295" t="s">
        <v>233</v>
      </c>
      <c r="S22" s="359"/>
    </row>
    <row r="23" spans="1:19" s="7" customFormat="1" ht="11.25" x14ac:dyDescent="0.15">
      <c r="A23" s="329"/>
      <c r="B23" s="83"/>
      <c r="C23" s="68"/>
      <c r="D23" s="12"/>
      <c r="E23" s="13"/>
      <c r="F23" s="70"/>
      <c r="G23" s="380"/>
      <c r="H23" s="502" t="s">
        <v>66</v>
      </c>
      <c r="I23" s="350" t="s">
        <v>81</v>
      </c>
      <c r="J23" s="273" t="s">
        <v>180</v>
      </c>
      <c r="K23" s="274" t="s">
        <v>181</v>
      </c>
      <c r="L23" s="272" t="s">
        <v>182</v>
      </c>
      <c r="M23" s="388" t="s">
        <v>309</v>
      </c>
      <c r="N23" s="375" t="s">
        <v>66</v>
      </c>
      <c r="O23" s="350" t="s">
        <v>81</v>
      </c>
      <c r="P23" s="145" t="s">
        <v>180</v>
      </c>
      <c r="Q23" s="146" t="s">
        <v>234</v>
      </c>
      <c r="R23" s="272" t="s">
        <v>235</v>
      </c>
      <c r="S23" s="359" t="str">
        <f>IF($M23=0, "", $M23)</f>
        <v>-</v>
      </c>
    </row>
    <row r="24" spans="1:19" s="7" customFormat="1" ht="11.25" x14ac:dyDescent="0.15">
      <c r="A24" s="329"/>
      <c r="B24" s="83"/>
      <c r="C24" s="68"/>
      <c r="D24" s="12"/>
      <c r="E24" s="13"/>
      <c r="F24" s="70"/>
      <c r="G24" s="381"/>
      <c r="H24" s="502"/>
      <c r="I24" s="351"/>
      <c r="J24" s="270" t="s">
        <v>183</v>
      </c>
      <c r="K24" s="275" t="s">
        <v>184</v>
      </c>
      <c r="L24" s="295" t="s">
        <v>185</v>
      </c>
      <c r="M24" s="388"/>
      <c r="N24" s="375"/>
      <c r="O24" s="351"/>
      <c r="P24" s="142" t="s">
        <v>183</v>
      </c>
      <c r="Q24" s="147" t="s">
        <v>236</v>
      </c>
      <c r="R24" s="295" t="s">
        <v>237</v>
      </c>
      <c r="S24" s="359"/>
    </row>
    <row r="25" spans="1:19" s="7" customFormat="1" ht="11.25" customHeight="1" x14ac:dyDescent="0.15">
      <c r="A25" s="329"/>
      <c r="B25" s="83"/>
      <c r="C25" s="68"/>
      <c r="D25" s="12"/>
      <c r="E25" s="13"/>
      <c r="F25" s="70"/>
      <c r="G25" s="380"/>
      <c r="H25" s="502" t="s">
        <v>66</v>
      </c>
      <c r="I25" s="350" t="s">
        <v>186</v>
      </c>
      <c r="J25" s="273" t="s">
        <v>187</v>
      </c>
      <c r="K25" s="276" t="s">
        <v>188</v>
      </c>
      <c r="L25" s="272" t="s">
        <v>189</v>
      </c>
      <c r="M25" s="388" t="s">
        <v>309</v>
      </c>
      <c r="N25" s="375" t="s">
        <v>66</v>
      </c>
      <c r="O25" s="350" t="s">
        <v>238</v>
      </c>
      <c r="P25" s="145" t="s">
        <v>239</v>
      </c>
      <c r="Q25" s="148" t="s">
        <v>193</v>
      </c>
      <c r="R25" s="272" t="s">
        <v>240</v>
      </c>
      <c r="S25" s="388" t="s">
        <v>309</v>
      </c>
    </row>
    <row r="26" spans="1:19" s="7" customFormat="1" ht="11.25" customHeight="1" x14ac:dyDescent="0.15">
      <c r="A26" s="329"/>
      <c r="B26" s="83"/>
      <c r="C26" s="68"/>
      <c r="D26" s="12"/>
      <c r="E26" s="13"/>
      <c r="F26" s="70"/>
      <c r="G26" s="381"/>
      <c r="H26" s="502"/>
      <c r="I26" s="351"/>
      <c r="J26" s="270" t="s">
        <v>190</v>
      </c>
      <c r="K26" s="277" t="s">
        <v>191</v>
      </c>
      <c r="L26" s="295" t="s">
        <v>192</v>
      </c>
      <c r="M26" s="388"/>
      <c r="N26" s="375"/>
      <c r="O26" s="351"/>
      <c r="P26" s="142" t="s">
        <v>241</v>
      </c>
      <c r="Q26" s="149" t="s">
        <v>195</v>
      </c>
      <c r="R26" s="295" t="s">
        <v>169</v>
      </c>
      <c r="S26" s="388"/>
    </row>
    <row r="27" spans="1:19" s="11" customFormat="1" ht="11.25" customHeight="1" x14ac:dyDescent="0.15">
      <c r="A27" s="329"/>
      <c r="B27" s="83"/>
      <c r="C27" s="68"/>
      <c r="D27" s="12"/>
      <c r="E27" s="13"/>
      <c r="F27" s="70"/>
      <c r="G27" s="380"/>
      <c r="H27" s="502" t="s">
        <v>66</v>
      </c>
      <c r="I27" s="350" t="s">
        <v>82</v>
      </c>
      <c r="J27" s="273" t="s">
        <v>83</v>
      </c>
      <c r="K27" s="276" t="s">
        <v>193</v>
      </c>
      <c r="L27" s="272" t="s">
        <v>194</v>
      </c>
      <c r="M27" s="388" t="s">
        <v>309</v>
      </c>
      <c r="N27" s="477" t="s">
        <v>66</v>
      </c>
      <c r="O27" s="350" t="s">
        <v>85</v>
      </c>
      <c r="P27" s="154" t="s">
        <v>86</v>
      </c>
      <c r="Q27" s="148" t="s">
        <v>242</v>
      </c>
      <c r="R27" s="272" t="s">
        <v>243</v>
      </c>
      <c r="S27" s="388" t="s">
        <v>309</v>
      </c>
    </row>
    <row r="28" spans="1:19" s="7" customFormat="1" ht="11.25" customHeight="1" x14ac:dyDescent="0.15">
      <c r="A28" s="329"/>
      <c r="B28" s="84"/>
      <c r="C28" s="68"/>
      <c r="D28" s="12"/>
      <c r="E28" s="13"/>
      <c r="F28" s="70"/>
      <c r="G28" s="381"/>
      <c r="H28" s="502"/>
      <c r="I28" s="473"/>
      <c r="J28" s="270" t="s">
        <v>84</v>
      </c>
      <c r="K28" s="277" t="s">
        <v>195</v>
      </c>
      <c r="L28" s="295" t="s">
        <v>196</v>
      </c>
      <c r="M28" s="388"/>
      <c r="N28" s="478"/>
      <c r="O28" s="351"/>
      <c r="P28" s="155" t="s">
        <v>87</v>
      </c>
      <c r="Q28" s="149" t="s">
        <v>244</v>
      </c>
      <c r="R28" s="295" t="s">
        <v>192</v>
      </c>
      <c r="S28" s="388"/>
    </row>
    <row r="29" spans="1:19" s="11" customFormat="1" ht="11.25" x14ac:dyDescent="0.15">
      <c r="A29" s="329"/>
      <c r="B29" s="112"/>
      <c r="C29" s="106"/>
      <c r="D29" s="12"/>
      <c r="E29" s="13"/>
      <c r="F29" s="70"/>
      <c r="G29" s="380"/>
      <c r="H29" s="397"/>
      <c r="I29" s="374"/>
      <c r="J29" s="286"/>
      <c r="K29" s="297"/>
      <c r="L29" s="297"/>
      <c r="M29" s="394"/>
      <c r="N29" s="372"/>
      <c r="O29" s="374"/>
      <c r="P29" s="151"/>
      <c r="Q29" s="162"/>
      <c r="R29" s="297"/>
      <c r="S29" s="359" t="str">
        <f>IF($M29=0, "", $M29)</f>
        <v/>
      </c>
    </row>
    <row r="30" spans="1:19" s="7" customFormat="1" ht="11.25" x14ac:dyDescent="0.15">
      <c r="A30" s="329"/>
      <c r="B30" s="84"/>
      <c r="C30" s="106"/>
      <c r="D30" s="12"/>
      <c r="E30" s="13"/>
      <c r="F30" s="70"/>
      <c r="G30" s="381"/>
      <c r="H30" s="506"/>
      <c r="I30" s="338"/>
      <c r="J30" s="266"/>
      <c r="K30" s="265"/>
      <c r="L30" s="268"/>
      <c r="M30" s="395"/>
      <c r="N30" s="373"/>
      <c r="O30" s="338"/>
      <c r="P30" s="137"/>
      <c r="Q30" s="135"/>
      <c r="R30" s="268"/>
      <c r="S30" s="359"/>
    </row>
    <row r="31" spans="1:19" s="7" customFormat="1" ht="11.25" x14ac:dyDescent="0.15">
      <c r="A31" s="329"/>
      <c r="B31" s="84"/>
      <c r="C31" s="106"/>
      <c r="D31" s="12"/>
      <c r="E31" s="13"/>
      <c r="F31" s="70"/>
      <c r="G31" s="380"/>
      <c r="H31" s="397"/>
      <c r="I31" s="374"/>
      <c r="J31" s="286"/>
      <c r="K31" s="298"/>
      <c r="L31" s="297"/>
      <c r="M31" s="394"/>
      <c r="N31" s="372"/>
      <c r="O31" s="374"/>
      <c r="P31" s="151"/>
      <c r="Q31" s="163"/>
      <c r="R31" s="297"/>
      <c r="S31" s="394"/>
    </row>
    <row r="32" spans="1:19" s="7" customFormat="1" ht="12" thickBot="1" x14ac:dyDescent="0.2">
      <c r="A32" s="330"/>
      <c r="B32" s="113"/>
      <c r="C32" s="108"/>
      <c r="D32" s="60"/>
      <c r="E32" s="109"/>
      <c r="F32" s="110"/>
      <c r="G32" s="396"/>
      <c r="H32" s="398"/>
      <c r="I32" s="503"/>
      <c r="J32" s="293"/>
      <c r="K32" s="294"/>
      <c r="L32" s="184"/>
      <c r="M32" s="383"/>
      <c r="N32" s="373"/>
      <c r="O32" s="338"/>
      <c r="P32" s="137"/>
      <c r="Q32" s="138"/>
      <c r="R32" s="268"/>
      <c r="S32" s="383"/>
    </row>
    <row r="33" spans="1:19" s="11" customFormat="1" ht="11.25" x14ac:dyDescent="0.15">
      <c r="A33" s="328">
        <v>2</v>
      </c>
      <c r="B33" s="347" t="s">
        <v>65</v>
      </c>
      <c r="C33" s="339">
        <v>881108</v>
      </c>
      <c r="D33" s="92" t="s">
        <v>88</v>
      </c>
      <c r="E33" s="124" t="s">
        <v>140</v>
      </c>
      <c r="F33" s="125" t="s">
        <v>141</v>
      </c>
      <c r="G33" s="402" t="s">
        <v>309</v>
      </c>
      <c r="H33" s="390" t="s">
        <v>66</v>
      </c>
      <c r="I33" s="392">
        <v>881254</v>
      </c>
      <c r="J33" s="278" t="s">
        <v>197</v>
      </c>
      <c r="K33" s="279" t="s">
        <v>198</v>
      </c>
      <c r="L33" s="214" t="s">
        <v>311</v>
      </c>
      <c r="M33" s="387" t="s">
        <v>309</v>
      </c>
      <c r="N33" s="363" t="s">
        <v>66</v>
      </c>
      <c r="O33" s="339">
        <v>881101</v>
      </c>
      <c r="P33" s="156" t="s">
        <v>245</v>
      </c>
      <c r="Q33" s="157" t="s">
        <v>246</v>
      </c>
      <c r="R33" s="190" t="s">
        <v>141</v>
      </c>
      <c r="S33" s="384" t="s">
        <v>309</v>
      </c>
    </row>
    <row r="34" spans="1:19" s="7" customFormat="1" ht="11.25" x14ac:dyDescent="0.15">
      <c r="A34" s="329"/>
      <c r="B34" s="343"/>
      <c r="C34" s="340"/>
      <c r="D34" s="126" t="s">
        <v>89</v>
      </c>
      <c r="E34" s="118" t="s">
        <v>142</v>
      </c>
      <c r="F34" s="127" t="s">
        <v>143</v>
      </c>
      <c r="G34" s="403"/>
      <c r="H34" s="391"/>
      <c r="I34" s="393"/>
      <c r="J34" s="280" t="s">
        <v>199</v>
      </c>
      <c r="K34" s="281" t="s">
        <v>200</v>
      </c>
      <c r="L34" s="215" t="s">
        <v>312</v>
      </c>
      <c r="M34" s="388"/>
      <c r="N34" s="364"/>
      <c r="O34" s="340"/>
      <c r="P34" s="158" t="s">
        <v>247</v>
      </c>
      <c r="Q34" s="137" t="s">
        <v>248</v>
      </c>
      <c r="R34" s="306" t="s">
        <v>249</v>
      </c>
      <c r="S34" s="385"/>
    </row>
    <row r="35" spans="1:19" s="11" customFormat="1" ht="11.25" x14ac:dyDescent="0.15">
      <c r="A35" s="329"/>
      <c r="B35" s="345" t="s">
        <v>66</v>
      </c>
      <c r="C35" s="353">
        <v>881203</v>
      </c>
      <c r="D35" s="114" t="s">
        <v>129</v>
      </c>
      <c r="E35" s="114" t="s">
        <v>130</v>
      </c>
      <c r="F35" s="115" t="s">
        <v>131</v>
      </c>
      <c r="G35" s="402" t="s">
        <v>309</v>
      </c>
      <c r="H35" s="404" t="s">
        <v>66</v>
      </c>
      <c r="I35" s="507" t="s">
        <v>90</v>
      </c>
      <c r="J35" s="246" t="s">
        <v>201</v>
      </c>
      <c r="K35" s="282" t="s">
        <v>202</v>
      </c>
      <c r="L35" s="216" t="s">
        <v>141</v>
      </c>
      <c r="M35" s="385" t="s">
        <v>309</v>
      </c>
      <c r="N35" s="367" t="s">
        <v>66</v>
      </c>
      <c r="O35" s="338" t="s">
        <v>106</v>
      </c>
      <c r="P35" s="159" t="s">
        <v>250</v>
      </c>
      <c r="Q35" s="118" t="s">
        <v>202</v>
      </c>
      <c r="R35" s="211" t="s">
        <v>141</v>
      </c>
      <c r="S35" s="406"/>
    </row>
    <row r="36" spans="1:19" s="11" customFormat="1" ht="12" thickBot="1" x14ac:dyDescent="0.2">
      <c r="A36" s="330"/>
      <c r="B36" s="346"/>
      <c r="C36" s="354"/>
      <c r="D36" s="116" t="s">
        <v>132</v>
      </c>
      <c r="E36" s="116"/>
      <c r="F36" s="117" t="s">
        <v>133</v>
      </c>
      <c r="G36" s="403"/>
      <c r="H36" s="470"/>
      <c r="I36" s="508"/>
      <c r="J36" s="283" t="s">
        <v>203</v>
      </c>
      <c r="K36" s="257" t="s">
        <v>7</v>
      </c>
      <c r="L36" s="212" t="s">
        <v>143</v>
      </c>
      <c r="M36" s="389"/>
      <c r="N36" s="468"/>
      <c r="O36" s="469"/>
      <c r="P36" s="160" t="s">
        <v>251</v>
      </c>
      <c r="Q36" s="161" t="s">
        <v>7</v>
      </c>
      <c r="R36" s="212" t="s">
        <v>143</v>
      </c>
      <c r="S36" s="407"/>
    </row>
    <row r="37" spans="1:19" s="11" customFormat="1" ht="11.25" x14ac:dyDescent="0.15">
      <c r="A37" s="324">
        <v>3</v>
      </c>
      <c r="B37" s="343" t="s">
        <v>65</v>
      </c>
      <c r="C37" s="337" t="s">
        <v>315</v>
      </c>
      <c r="D37" s="118" t="s">
        <v>134</v>
      </c>
      <c r="E37" s="119" t="s">
        <v>135</v>
      </c>
      <c r="F37" s="120" t="s">
        <v>136</v>
      </c>
      <c r="G37" s="467" t="s">
        <v>309</v>
      </c>
      <c r="H37" s="461" t="s">
        <v>204</v>
      </c>
      <c r="I37" s="365" t="s">
        <v>97</v>
      </c>
      <c r="J37" s="183" t="s">
        <v>98</v>
      </c>
      <c r="K37" s="185" t="s">
        <v>205</v>
      </c>
      <c r="L37" s="218" t="s">
        <v>206</v>
      </c>
      <c r="M37" s="387" t="s">
        <v>309</v>
      </c>
      <c r="N37" s="463" t="s">
        <v>252</v>
      </c>
      <c r="O37" s="465" t="s">
        <v>107</v>
      </c>
      <c r="P37" s="164" t="s">
        <v>93</v>
      </c>
      <c r="Q37" s="133" t="s">
        <v>253</v>
      </c>
      <c r="R37" s="260" t="s">
        <v>254</v>
      </c>
      <c r="S37" s="406" t="s">
        <v>309</v>
      </c>
    </row>
    <row r="38" spans="1:19" s="11" customFormat="1" ht="22.5" x14ac:dyDescent="0.15">
      <c r="A38" s="324"/>
      <c r="B38" s="344"/>
      <c r="C38" s="338"/>
      <c r="D38" s="121" t="s">
        <v>137</v>
      </c>
      <c r="E38" s="122" t="s">
        <v>138</v>
      </c>
      <c r="F38" s="123" t="s">
        <v>139</v>
      </c>
      <c r="G38" s="403"/>
      <c r="H38" s="462"/>
      <c r="I38" s="366"/>
      <c r="J38" s="284" t="s">
        <v>99</v>
      </c>
      <c r="K38" s="285" t="s">
        <v>207</v>
      </c>
      <c r="L38" s="219" t="s">
        <v>208</v>
      </c>
      <c r="M38" s="388"/>
      <c r="N38" s="464"/>
      <c r="O38" s="466"/>
      <c r="P38" s="137" t="s">
        <v>108</v>
      </c>
      <c r="Q38" s="137" t="s">
        <v>255</v>
      </c>
      <c r="R38" s="261" t="s">
        <v>256</v>
      </c>
      <c r="S38" s="385"/>
    </row>
    <row r="39" spans="1:19" s="11" customFormat="1" ht="11.25" x14ac:dyDescent="0.15">
      <c r="A39" s="324"/>
      <c r="B39" s="333"/>
      <c r="C39" s="105"/>
      <c r="D39" s="16"/>
      <c r="E39" s="17"/>
      <c r="F39" s="31"/>
      <c r="G39" s="380"/>
      <c r="H39" s="186"/>
      <c r="I39" s="286"/>
      <c r="J39" s="286"/>
      <c r="K39" s="286"/>
      <c r="L39" s="256"/>
      <c r="M39" s="394"/>
      <c r="N39" s="488" t="s">
        <v>66</v>
      </c>
      <c r="O39" s="485" t="s">
        <v>91</v>
      </c>
      <c r="P39" s="150" t="s">
        <v>92</v>
      </c>
      <c r="Q39" s="165" t="s">
        <v>9</v>
      </c>
      <c r="R39" s="213" t="s">
        <v>257</v>
      </c>
      <c r="S39" s="460" t="s">
        <v>309</v>
      </c>
    </row>
    <row r="40" spans="1:19" s="7" customFormat="1" ht="12" thickBot="1" x14ac:dyDescent="0.2">
      <c r="A40" s="331"/>
      <c r="B40" s="348"/>
      <c r="C40" s="108"/>
      <c r="D40" s="56"/>
      <c r="E40" s="57"/>
      <c r="F40" s="111"/>
      <c r="G40" s="396"/>
      <c r="H40" s="222"/>
      <c r="I40" s="293"/>
      <c r="J40" s="293"/>
      <c r="K40" s="293"/>
      <c r="L40" s="196"/>
      <c r="M40" s="383"/>
      <c r="N40" s="489"/>
      <c r="O40" s="366"/>
      <c r="P40" s="150" t="s">
        <v>258</v>
      </c>
      <c r="Q40" s="165" t="s">
        <v>14</v>
      </c>
      <c r="R40" s="213" t="s">
        <v>259</v>
      </c>
      <c r="S40" s="407"/>
    </row>
    <row r="41" spans="1:19" s="11" customFormat="1" ht="11.25" x14ac:dyDescent="0.15">
      <c r="A41" s="323">
        <v>4</v>
      </c>
      <c r="B41" s="347" t="s">
        <v>65</v>
      </c>
      <c r="C41" s="339">
        <v>881113</v>
      </c>
      <c r="D41" s="128" t="s">
        <v>144</v>
      </c>
      <c r="E41" s="124" t="s">
        <v>145</v>
      </c>
      <c r="F41" s="129" t="s">
        <v>146</v>
      </c>
      <c r="G41" s="402" t="s">
        <v>309</v>
      </c>
      <c r="H41" s="400" t="s">
        <v>66</v>
      </c>
      <c r="I41" s="365" t="s">
        <v>94</v>
      </c>
      <c r="J41" s="287" t="s">
        <v>95</v>
      </c>
      <c r="K41" s="288" t="s">
        <v>67</v>
      </c>
      <c r="L41" s="183" t="s">
        <v>209</v>
      </c>
      <c r="M41" s="387" t="s">
        <v>309</v>
      </c>
      <c r="N41" s="486" t="s">
        <v>66</v>
      </c>
      <c r="O41" s="365" t="s">
        <v>103</v>
      </c>
      <c r="P41" s="287" t="s">
        <v>260</v>
      </c>
      <c r="Q41" s="300" t="s">
        <v>261</v>
      </c>
      <c r="R41" s="183" t="s">
        <v>262</v>
      </c>
      <c r="S41" s="384" t="s">
        <v>309</v>
      </c>
    </row>
    <row r="42" spans="1:19" s="11" customFormat="1" ht="11.25" x14ac:dyDescent="0.15">
      <c r="A42" s="324"/>
      <c r="B42" s="344"/>
      <c r="C42" s="340"/>
      <c r="D42" s="130" t="s">
        <v>147</v>
      </c>
      <c r="E42" s="121" t="s">
        <v>148</v>
      </c>
      <c r="F42" s="131" t="s">
        <v>149</v>
      </c>
      <c r="G42" s="403"/>
      <c r="H42" s="401"/>
      <c r="I42" s="366"/>
      <c r="J42" s="289" t="s">
        <v>96</v>
      </c>
      <c r="K42" s="290" t="s">
        <v>68</v>
      </c>
      <c r="L42" s="217" t="s">
        <v>210</v>
      </c>
      <c r="M42" s="388"/>
      <c r="N42" s="487"/>
      <c r="O42" s="366"/>
      <c r="P42" s="285" t="s">
        <v>104</v>
      </c>
      <c r="Q42" s="299" t="s">
        <v>8</v>
      </c>
      <c r="R42" s="284" t="s">
        <v>124</v>
      </c>
      <c r="S42" s="385"/>
    </row>
    <row r="43" spans="1:19" s="11" customFormat="1" ht="11.25" x14ac:dyDescent="0.15">
      <c r="A43" s="324"/>
      <c r="B43" s="333"/>
      <c r="C43" s="341"/>
      <c r="D43" s="16"/>
      <c r="E43" s="17"/>
      <c r="F43" s="33"/>
      <c r="G43" s="380"/>
      <c r="H43" s="404" t="s">
        <v>66</v>
      </c>
      <c r="I43" s="374" t="s">
        <v>100</v>
      </c>
      <c r="J43" s="291" t="s">
        <v>101</v>
      </c>
      <c r="K43" s="292" t="s">
        <v>211</v>
      </c>
      <c r="L43" s="256" t="s">
        <v>212</v>
      </c>
      <c r="M43" s="388" t="s">
        <v>309</v>
      </c>
      <c r="N43" s="367" t="s">
        <v>66</v>
      </c>
      <c r="O43" s="353">
        <v>881133</v>
      </c>
      <c r="P43" s="246" t="s">
        <v>263</v>
      </c>
      <c r="Q43" s="255" t="s">
        <v>264</v>
      </c>
      <c r="R43" s="181" t="s">
        <v>141</v>
      </c>
      <c r="S43" s="406" t="s">
        <v>309</v>
      </c>
    </row>
    <row r="44" spans="1:19" s="11" customFormat="1" ht="11.25" x14ac:dyDescent="0.15">
      <c r="A44" s="324"/>
      <c r="B44" s="334"/>
      <c r="C44" s="342"/>
      <c r="D44" s="14"/>
      <c r="E44" s="9"/>
      <c r="F44" s="82"/>
      <c r="G44" s="381"/>
      <c r="H44" s="405"/>
      <c r="I44" s="337"/>
      <c r="J44" s="263" t="s">
        <v>213</v>
      </c>
      <c r="K44" s="264" t="s">
        <v>102</v>
      </c>
      <c r="L44" s="215" t="s">
        <v>125</v>
      </c>
      <c r="M44" s="460"/>
      <c r="N44" s="364"/>
      <c r="O44" s="368"/>
      <c r="P44" s="262" t="s">
        <v>265</v>
      </c>
      <c r="Q44" s="259" t="s">
        <v>266</v>
      </c>
      <c r="R44" s="303" t="s">
        <v>143</v>
      </c>
      <c r="S44" s="406"/>
    </row>
    <row r="45" spans="1:19" s="11" customFormat="1" ht="11.25" x14ac:dyDescent="0.15">
      <c r="A45" s="324"/>
      <c r="B45" s="352"/>
      <c r="C45" s="106"/>
      <c r="D45" s="8"/>
      <c r="E45" s="17"/>
      <c r="F45" s="32"/>
      <c r="G45" s="380"/>
      <c r="H45" s="186"/>
      <c r="I45" s="286"/>
      <c r="J45" s="286"/>
      <c r="K45" s="286"/>
      <c r="L45" s="256"/>
      <c r="M45" s="394"/>
      <c r="N45" s="369"/>
      <c r="O45" s="371"/>
      <c r="P45" s="246"/>
      <c r="Q45" s="243"/>
      <c r="R45" s="208"/>
      <c r="S45" s="394"/>
    </row>
    <row r="46" spans="1:19" s="7" customFormat="1" ht="12" thickBot="1" x14ac:dyDescent="0.2">
      <c r="A46" s="331"/>
      <c r="B46" s="348"/>
      <c r="C46" s="108"/>
      <c r="D46" s="56"/>
      <c r="E46" s="57"/>
      <c r="F46" s="111"/>
      <c r="G46" s="396"/>
      <c r="H46" s="222"/>
      <c r="I46" s="293"/>
      <c r="J46" s="293"/>
      <c r="K46" s="293"/>
      <c r="L46" s="196"/>
      <c r="M46" s="383"/>
      <c r="N46" s="370"/>
      <c r="O46" s="327"/>
      <c r="P46" s="224"/>
      <c r="Q46" s="247"/>
      <c r="R46" s="209"/>
      <c r="S46" s="383"/>
    </row>
    <row r="47" spans="1:19" s="11" customFormat="1" ht="11.25" x14ac:dyDescent="0.15">
      <c r="A47" s="320">
        <v>5</v>
      </c>
      <c r="B47" s="335"/>
      <c r="C47" s="132"/>
      <c r="D47" s="133"/>
      <c r="E47" s="134"/>
      <c r="F47" s="135"/>
      <c r="G47" s="399"/>
      <c r="H47" s="504"/>
      <c r="I47" s="326"/>
      <c r="J47" s="244"/>
      <c r="K47" s="232"/>
      <c r="L47" s="236"/>
      <c r="M47" s="382"/>
      <c r="N47" s="451"/>
      <c r="O47" s="223"/>
      <c r="P47" s="231"/>
      <c r="Q47" s="232"/>
      <c r="R47" s="182"/>
      <c r="S47" s="382"/>
    </row>
    <row r="48" spans="1:19" s="11" customFormat="1" ht="11.25" x14ac:dyDescent="0.15">
      <c r="A48" s="324"/>
      <c r="B48" s="336"/>
      <c r="C48" s="136"/>
      <c r="D48" s="137"/>
      <c r="E48" s="138"/>
      <c r="F48" s="139"/>
      <c r="G48" s="395"/>
      <c r="H48" s="505"/>
      <c r="I48" s="445"/>
      <c r="J48" s="89"/>
      <c r="K48" s="15"/>
      <c r="L48" s="67"/>
      <c r="M48" s="395"/>
      <c r="N48" s="452"/>
      <c r="O48" s="94"/>
      <c r="P48" s="14"/>
      <c r="Q48" s="15"/>
      <c r="R48" s="95"/>
      <c r="S48" s="395"/>
    </row>
    <row r="49" spans="1:19" s="11" customFormat="1" ht="11.25" x14ac:dyDescent="0.15">
      <c r="A49" s="324"/>
      <c r="B49" s="494"/>
      <c r="C49" s="496"/>
      <c r="D49" s="85"/>
      <c r="E49" s="17"/>
      <c r="F49" s="30"/>
      <c r="G49" s="394"/>
      <c r="H49" s="498"/>
      <c r="I49" s="326"/>
      <c r="J49" s="90"/>
      <c r="K49" s="9"/>
      <c r="L49" s="236"/>
      <c r="M49" s="382"/>
      <c r="N49" s="453"/>
      <c r="O49" s="362"/>
      <c r="P49" s="8"/>
      <c r="Q49" s="86"/>
      <c r="R49" s="10"/>
      <c r="S49" s="449"/>
    </row>
    <row r="50" spans="1:19" s="11" customFormat="1" ht="12" thickBot="1" x14ac:dyDescent="0.2">
      <c r="A50" s="331"/>
      <c r="B50" s="495"/>
      <c r="C50" s="497"/>
      <c r="D50" s="87"/>
      <c r="E50" s="57"/>
      <c r="F50" s="58"/>
      <c r="G50" s="383"/>
      <c r="H50" s="499"/>
      <c r="I50" s="500"/>
      <c r="J50" s="91"/>
      <c r="K50" s="57"/>
      <c r="L50" s="252"/>
      <c r="M50" s="383"/>
      <c r="N50" s="454"/>
      <c r="O50" s="455"/>
      <c r="P50" s="56"/>
      <c r="Q50" s="56"/>
      <c r="R50" s="59"/>
      <c r="S50" s="450"/>
    </row>
    <row r="51" spans="1:19" s="11" customFormat="1" x14ac:dyDescent="0.15">
      <c r="A51" s="44"/>
      <c r="B51" s="45"/>
      <c r="C51" s="46"/>
      <c r="D51" s="1"/>
      <c r="E51" s="18"/>
      <c r="F51" s="19"/>
      <c r="G51" s="19"/>
      <c r="H51" s="45"/>
      <c r="I51" s="46"/>
      <c r="J51" s="47"/>
      <c r="K51" s="48"/>
      <c r="L51" s="20"/>
      <c r="M51" s="20"/>
      <c r="N51" s="45"/>
      <c r="O51" s="49"/>
      <c r="P51" s="40"/>
      <c r="Q51" s="41"/>
      <c r="R51" s="41"/>
      <c r="S51" s="2"/>
    </row>
    <row r="52" spans="1:19" ht="14.25" thickBot="1" x14ac:dyDescent="0.2">
      <c r="B52" s="21"/>
      <c r="C52" s="22"/>
      <c r="D52" s="22"/>
      <c r="E52" s="23"/>
      <c r="F52" s="23"/>
      <c r="G52" s="23"/>
      <c r="H52" s="21"/>
      <c r="I52" s="22"/>
      <c r="J52" s="22"/>
      <c r="K52" s="23"/>
      <c r="L52" s="23"/>
      <c r="M52" s="23"/>
      <c r="S52" s="22"/>
    </row>
    <row r="53" spans="1:19" ht="14.25" thickBot="1" x14ac:dyDescent="0.2">
      <c r="A53" s="3" t="s">
        <v>20</v>
      </c>
      <c r="B53" s="456" t="s">
        <v>30</v>
      </c>
      <c r="C53" s="457"/>
      <c r="D53" s="457"/>
      <c r="E53" s="457"/>
      <c r="F53" s="457"/>
      <c r="G53" s="458"/>
      <c r="H53" s="456" t="s">
        <v>21</v>
      </c>
      <c r="I53" s="457"/>
      <c r="J53" s="457"/>
      <c r="K53" s="457"/>
      <c r="L53" s="457"/>
      <c r="M53" s="459"/>
      <c r="O53" s="50"/>
      <c r="P53" s="50"/>
      <c r="Q53" s="51"/>
      <c r="R53" s="23"/>
      <c r="S53" s="22"/>
    </row>
    <row r="54" spans="1:19" s="22" customFormat="1" ht="23.25" thickBot="1" x14ac:dyDescent="0.2">
      <c r="A54" s="61" t="s">
        <v>31</v>
      </c>
      <c r="B54" s="62" t="s">
        <v>32</v>
      </c>
      <c r="C54" s="63" t="s">
        <v>16</v>
      </c>
      <c r="D54" s="64" t="s">
        <v>33</v>
      </c>
      <c r="E54" s="65" t="s">
        <v>34</v>
      </c>
      <c r="F54" s="69" t="s">
        <v>19</v>
      </c>
      <c r="G54" s="99" t="s">
        <v>36</v>
      </c>
      <c r="H54" s="62" t="s">
        <v>24</v>
      </c>
      <c r="I54" s="63" t="s">
        <v>16</v>
      </c>
      <c r="J54" s="64" t="s">
        <v>35</v>
      </c>
      <c r="K54" s="65" t="s">
        <v>18</v>
      </c>
      <c r="L54" s="69" t="s">
        <v>28</v>
      </c>
      <c r="M54" s="99" t="s">
        <v>36</v>
      </c>
      <c r="N54" s="21"/>
      <c r="O54" s="50"/>
      <c r="P54" s="50"/>
      <c r="Q54" s="51"/>
      <c r="R54" s="23"/>
    </row>
    <row r="55" spans="1:19" s="22" customFormat="1" ht="11.25" customHeight="1" x14ac:dyDescent="0.15">
      <c r="A55" s="320">
        <v>1</v>
      </c>
      <c r="B55" s="484" t="s">
        <v>66</v>
      </c>
      <c r="C55" s="355" t="s">
        <v>72</v>
      </c>
      <c r="D55" s="166" t="s">
        <v>150</v>
      </c>
      <c r="E55" s="167" t="s">
        <v>267</v>
      </c>
      <c r="F55" s="167" t="s">
        <v>243</v>
      </c>
      <c r="G55" s="358" t="str">
        <f>IF($M9=0, "", $M9)</f>
        <v>-</v>
      </c>
      <c r="H55" s="363" t="s">
        <v>66</v>
      </c>
      <c r="I55" s="360" t="s">
        <v>313</v>
      </c>
      <c r="J55" s="92" t="s">
        <v>300</v>
      </c>
      <c r="K55" s="172" t="s">
        <v>293</v>
      </c>
      <c r="L55" s="190" t="s">
        <v>141</v>
      </c>
      <c r="M55" s="358" t="str">
        <f>IF(G79=0, "", G79)</f>
        <v>-</v>
      </c>
      <c r="N55" s="25"/>
      <c r="O55" s="52"/>
      <c r="P55" s="52"/>
      <c r="Q55" s="53"/>
      <c r="R55" s="23"/>
      <c r="S55" s="28"/>
    </row>
    <row r="56" spans="1:19" s="22" customFormat="1" ht="11.25" customHeight="1" x14ac:dyDescent="0.15">
      <c r="A56" s="321"/>
      <c r="B56" s="476"/>
      <c r="C56" s="351"/>
      <c r="D56" s="142" t="s">
        <v>152</v>
      </c>
      <c r="E56" s="141" t="s">
        <v>268</v>
      </c>
      <c r="F56" s="152" t="s">
        <v>192</v>
      </c>
      <c r="G56" s="359"/>
      <c r="H56" s="376"/>
      <c r="I56" s="361"/>
      <c r="J56" s="170" t="s">
        <v>294</v>
      </c>
      <c r="K56" s="171" t="s">
        <v>295</v>
      </c>
      <c r="L56" s="306" t="s">
        <v>143</v>
      </c>
      <c r="M56" s="359"/>
      <c r="N56" s="26"/>
      <c r="O56" s="54"/>
      <c r="P56" s="54"/>
      <c r="Q56" s="55"/>
      <c r="R56" s="27"/>
    </row>
    <row r="57" spans="1:19" s="28" customFormat="1" ht="11.25" x14ac:dyDescent="0.15">
      <c r="A57" s="321"/>
      <c r="B57" s="490" t="s">
        <v>66</v>
      </c>
      <c r="C57" s="350" t="s">
        <v>74</v>
      </c>
      <c r="D57" s="143" t="s">
        <v>154</v>
      </c>
      <c r="E57" s="144" t="s">
        <v>217</v>
      </c>
      <c r="F57" s="168" t="s">
        <v>269</v>
      </c>
      <c r="G57" s="359" t="str">
        <f>IF($M11=0, "", $M11)</f>
        <v>-</v>
      </c>
      <c r="H57" s="377"/>
      <c r="I57" s="341"/>
      <c r="J57" s="29"/>
      <c r="K57" s="17"/>
      <c r="L57" s="235"/>
      <c r="M57" s="394"/>
      <c r="N57" s="25"/>
      <c r="O57" s="52"/>
      <c r="P57" s="52"/>
      <c r="Q57" s="53"/>
      <c r="R57" s="23"/>
    </row>
    <row r="58" spans="1:19" s="22" customFormat="1" ht="11.25" x14ac:dyDescent="0.15">
      <c r="A58" s="321"/>
      <c r="B58" s="476"/>
      <c r="C58" s="351"/>
      <c r="D58" s="142" t="s">
        <v>155</v>
      </c>
      <c r="E58" s="141" t="s">
        <v>219</v>
      </c>
      <c r="F58" s="169" t="s">
        <v>270</v>
      </c>
      <c r="G58" s="359"/>
      <c r="H58" s="379"/>
      <c r="I58" s="342"/>
      <c r="J58" s="14"/>
      <c r="K58" s="9"/>
      <c r="L58" s="67"/>
      <c r="M58" s="395"/>
      <c r="N58" s="26"/>
      <c r="O58" s="54"/>
      <c r="P58" s="54"/>
      <c r="Q58" s="55"/>
      <c r="R58" s="27"/>
    </row>
    <row r="59" spans="1:19" s="28" customFormat="1" ht="11.25" x14ac:dyDescent="0.15">
      <c r="A59" s="321"/>
      <c r="B59" s="490" t="s">
        <v>66</v>
      </c>
      <c r="C59" s="350" t="s">
        <v>75</v>
      </c>
      <c r="D59" s="143" t="s">
        <v>156</v>
      </c>
      <c r="E59" s="144" t="s">
        <v>181</v>
      </c>
      <c r="F59" s="168" t="s">
        <v>271</v>
      </c>
      <c r="G59" s="359" t="str">
        <f>IF($M13=0, "", $M13)</f>
        <v>-</v>
      </c>
      <c r="H59" s="377"/>
      <c r="I59" s="341"/>
      <c r="J59" s="16"/>
      <c r="K59" s="17"/>
      <c r="L59" s="235"/>
      <c r="M59" s="394"/>
      <c r="N59" s="25"/>
      <c r="O59" s="52"/>
      <c r="P59" s="52"/>
      <c r="Q59" s="53"/>
      <c r="R59" s="23"/>
    </row>
    <row r="60" spans="1:19" s="22" customFormat="1" ht="22.5" x14ac:dyDescent="0.15">
      <c r="A60" s="321"/>
      <c r="B60" s="476"/>
      <c r="C60" s="351"/>
      <c r="D60" s="142" t="s">
        <v>159</v>
      </c>
      <c r="E60" s="141" t="s">
        <v>184</v>
      </c>
      <c r="F60" s="169" t="s">
        <v>272</v>
      </c>
      <c r="G60" s="359"/>
      <c r="H60" s="379"/>
      <c r="I60" s="342"/>
      <c r="J60" s="14"/>
      <c r="K60" s="15"/>
      <c r="L60" s="67"/>
      <c r="M60" s="395"/>
      <c r="N60" s="26"/>
      <c r="O60" s="54"/>
      <c r="P60" s="54"/>
      <c r="Q60" s="55"/>
      <c r="R60" s="27"/>
    </row>
    <row r="61" spans="1:19" s="28" customFormat="1" ht="11.25" x14ac:dyDescent="0.15">
      <c r="A61" s="321"/>
      <c r="B61" s="349" t="s">
        <v>66</v>
      </c>
      <c r="C61" s="350" t="s">
        <v>77</v>
      </c>
      <c r="D61" s="143" t="s">
        <v>161</v>
      </c>
      <c r="E61" s="144" t="s">
        <v>224</v>
      </c>
      <c r="F61" s="144" t="s">
        <v>235</v>
      </c>
      <c r="G61" s="359" t="str">
        <f>IF($M15=0, "", $M15)</f>
        <v>-</v>
      </c>
      <c r="H61" s="377"/>
      <c r="I61" s="341"/>
      <c r="J61" s="16"/>
      <c r="K61" s="17"/>
      <c r="L61" s="235"/>
      <c r="M61" s="394"/>
      <c r="N61" s="25"/>
      <c r="O61" s="52"/>
      <c r="P61" s="52"/>
      <c r="Q61" s="53"/>
      <c r="R61" s="23"/>
    </row>
    <row r="62" spans="1:19" s="22" customFormat="1" ht="11.25" x14ac:dyDescent="0.15">
      <c r="A62" s="321"/>
      <c r="B62" s="349"/>
      <c r="C62" s="351"/>
      <c r="D62" s="142" t="s">
        <v>162</v>
      </c>
      <c r="E62" s="141" t="s">
        <v>226</v>
      </c>
      <c r="F62" s="152" t="s">
        <v>237</v>
      </c>
      <c r="G62" s="359"/>
      <c r="H62" s="379"/>
      <c r="I62" s="342"/>
      <c r="J62" s="14"/>
      <c r="K62" s="15"/>
      <c r="L62" s="67"/>
      <c r="M62" s="395"/>
      <c r="N62" s="26"/>
      <c r="O62" s="54"/>
      <c r="P62" s="54"/>
      <c r="Q62" s="55"/>
      <c r="R62" s="27"/>
    </row>
    <row r="63" spans="1:19" s="28" customFormat="1" ht="11.25" x14ac:dyDescent="0.15">
      <c r="A63" s="321"/>
      <c r="B63" s="349" t="s">
        <v>66</v>
      </c>
      <c r="C63" s="350" t="s">
        <v>78</v>
      </c>
      <c r="D63" s="145" t="s">
        <v>164</v>
      </c>
      <c r="E63" s="144" t="s">
        <v>273</v>
      </c>
      <c r="F63" s="144" t="s">
        <v>274</v>
      </c>
      <c r="G63" s="359" t="str">
        <f>IF($M17=0, "", $M17)</f>
        <v>-</v>
      </c>
      <c r="H63" s="377"/>
      <c r="I63" s="341"/>
      <c r="J63" s="16"/>
      <c r="K63" s="17"/>
      <c r="L63" s="235"/>
      <c r="M63" s="394"/>
      <c r="N63" s="25"/>
      <c r="O63" s="52"/>
      <c r="P63" s="52"/>
      <c r="Q63" s="53"/>
      <c r="R63" s="23"/>
    </row>
    <row r="64" spans="1:19" s="22" customFormat="1" ht="11.25" x14ac:dyDescent="0.15">
      <c r="A64" s="321"/>
      <c r="B64" s="349"/>
      <c r="C64" s="351"/>
      <c r="D64" s="142" t="s">
        <v>167</v>
      </c>
      <c r="E64" s="141" t="s">
        <v>275</v>
      </c>
      <c r="F64" s="152" t="s">
        <v>276</v>
      </c>
      <c r="G64" s="359"/>
      <c r="H64" s="379"/>
      <c r="I64" s="342"/>
      <c r="J64" s="14"/>
      <c r="K64" s="15"/>
      <c r="L64" s="67"/>
      <c r="M64" s="395"/>
      <c r="N64" s="26"/>
      <c r="O64" s="54"/>
      <c r="P64" s="54"/>
      <c r="Q64" s="55"/>
      <c r="R64" s="27"/>
    </row>
    <row r="65" spans="1:19" s="28" customFormat="1" ht="11.25" x14ac:dyDescent="0.15">
      <c r="A65" s="321"/>
      <c r="B65" s="349" t="s">
        <v>66</v>
      </c>
      <c r="C65" s="350" t="s">
        <v>79</v>
      </c>
      <c r="D65" s="145" t="s">
        <v>170</v>
      </c>
      <c r="E65" s="144" t="s">
        <v>171</v>
      </c>
      <c r="F65" s="144" t="s">
        <v>277</v>
      </c>
      <c r="G65" s="359" t="str">
        <f>IF($M19=0, "", $M19)</f>
        <v>-</v>
      </c>
      <c r="H65" s="377"/>
      <c r="I65" s="341"/>
      <c r="J65" s="16"/>
      <c r="K65" s="31"/>
      <c r="L65" s="235"/>
      <c r="M65" s="394"/>
      <c r="N65" s="25"/>
      <c r="O65" s="52"/>
      <c r="P65" s="52"/>
      <c r="Q65" s="53"/>
      <c r="R65" s="23"/>
    </row>
    <row r="66" spans="1:19" s="22" customFormat="1" ht="11.25" x14ac:dyDescent="0.15">
      <c r="A66" s="321"/>
      <c r="B66" s="349"/>
      <c r="C66" s="351"/>
      <c r="D66" s="142" t="s">
        <v>173</v>
      </c>
      <c r="E66" s="141" t="s">
        <v>174</v>
      </c>
      <c r="F66" s="152" t="s">
        <v>278</v>
      </c>
      <c r="G66" s="359"/>
      <c r="H66" s="379"/>
      <c r="I66" s="342"/>
      <c r="J66" s="14"/>
      <c r="K66" s="32"/>
      <c r="L66" s="67"/>
      <c r="M66" s="395"/>
      <c r="N66" s="26"/>
      <c r="O66" s="54"/>
      <c r="P66" s="54"/>
      <c r="Q66" s="55"/>
      <c r="R66" s="27"/>
    </row>
    <row r="67" spans="1:19" s="28" customFormat="1" ht="11.25" x14ac:dyDescent="0.15">
      <c r="A67" s="321"/>
      <c r="B67" s="349" t="s">
        <v>66</v>
      </c>
      <c r="C67" s="350" t="s">
        <v>80</v>
      </c>
      <c r="D67" s="145" t="s">
        <v>70</v>
      </c>
      <c r="E67" s="146" t="s">
        <v>109</v>
      </c>
      <c r="F67" s="144" t="s">
        <v>279</v>
      </c>
      <c r="G67" s="359" t="str">
        <f>IF($M21=0, "", $M21)</f>
        <v>-</v>
      </c>
      <c r="H67" s="377"/>
      <c r="I67" s="341"/>
      <c r="J67" s="16"/>
      <c r="K67" s="17"/>
      <c r="L67" s="235"/>
      <c r="M67" s="394"/>
      <c r="N67" s="25"/>
      <c r="O67" s="52"/>
      <c r="P67" s="52"/>
      <c r="Q67" s="53"/>
      <c r="R67" s="23"/>
    </row>
    <row r="68" spans="1:19" s="22" customFormat="1" ht="11.25" x14ac:dyDescent="0.15">
      <c r="A68" s="321"/>
      <c r="B68" s="349"/>
      <c r="C68" s="351"/>
      <c r="D68" s="142" t="s">
        <v>177</v>
      </c>
      <c r="E68" s="147" t="s">
        <v>12</v>
      </c>
      <c r="F68" s="152" t="s">
        <v>280</v>
      </c>
      <c r="G68" s="359"/>
      <c r="H68" s="379"/>
      <c r="I68" s="342"/>
      <c r="J68" s="14"/>
      <c r="K68" s="15"/>
      <c r="L68" s="67"/>
      <c r="M68" s="395"/>
      <c r="N68" s="26"/>
      <c r="O68" s="54"/>
      <c r="P68" s="54"/>
      <c r="Q68" s="55"/>
      <c r="R68" s="27"/>
      <c r="S68" s="28"/>
    </row>
    <row r="69" spans="1:19" s="28" customFormat="1" ht="12" thickBot="1" x14ac:dyDescent="0.2">
      <c r="A69" s="321"/>
      <c r="B69" s="349" t="s">
        <v>66</v>
      </c>
      <c r="C69" s="350" t="s">
        <v>81</v>
      </c>
      <c r="D69" s="145" t="s">
        <v>180</v>
      </c>
      <c r="E69" s="146" t="s">
        <v>109</v>
      </c>
      <c r="F69" s="144" t="s">
        <v>279</v>
      </c>
      <c r="G69" s="359" t="str">
        <f>IF($M23=0, "", $M23)</f>
        <v>-</v>
      </c>
      <c r="H69" s="377"/>
      <c r="I69" s="341"/>
      <c r="J69" s="16"/>
      <c r="K69" s="17"/>
      <c r="L69" s="205"/>
      <c r="M69" s="394"/>
      <c r="N69" s="26"/>
      <c r="O69" s="54"/>
      <c r="P69" s="54"/>
      <c r="Q69" s="55"/>
      <c r="R69" s="27"/>
    </row>
    <row r="70" spans="1:19" s="28" customFormat="1" ht="21" customHeight="1" x14ac:dyDescent="0.15">
      <c r="A70" s="321"/>
      <c r="B70" s="349"/>
      <c r="C70" s="351"/>
      <c r="D70" s="142" t="s">
        <v>183</v>
      </c>
      <c r="E70" s="147" t="s">
        <v>12</v>
      </c>
      <c r="F70" s="152" t="s">
        <v>280</v>
      </c>
      <c r="G70" s="359"/>
      <c r="H70" s="379"/>
      <c r="I70" s="342"/>
      <c r="J70" s="14"/>
      <c r="K70" s="9"/>
      <c r="L70" s="200"/>
      <c r="M70" s="395"/>
      <c r="N70" s="26"/>
      <c r="O70" s="54"/>
      <c r="P70" s="525" t="s">
        <v>41</v>
      </c>
      <c r="Q70" s="519"/>
      <c r="R70" s="27"/>
    </row>
    <row r="71" spans="1:19" s="28" customFormat="1" ht="11.25" customHeight="1" x14ac:dyDescent="0.15">
      <c r="A71" s="321"/>
      <c r="B71" s="349" t="s">
        <v>66</v>
      </c>
      <c r="C71" s="350" t="s">
        <v>281</v>
      </c>
      <c r="D71" s="145" t="s">
        <v>282</v>
      </c>
      <c r="E71" s="144" t="s">
        <v>283</v>
      </c>
      <c r="F71" s="168" t="s">
        <v>284</v>
      </c>
      <c r="G71" s="388" t="s">
        <v>309</v>
      </c>
      <c r="H71" s="377"/>
      <c r="I71" s="341"/>
      <c r="J71" s="16"/>
      <c r="K71" s="17"/>
      <c r="L71" s="205"/>
      <c r="M71" s="394"/>
      <c r="N71" s="26"/>
      <c r="O71" s="54"/>
      <c r="P71" s="526"/>
      <c r="Q71" s="520"/>
      <c r="R71" s="27"/>
    </row>
    <row r="72" spans="1:19" s="28" customFormat="1" ht="12" customHeight="1" x14ac:dyDescent="0.15">
      <c r="A72" s="321"/>
      <c r="B72" s="349"/>
      <c r="C72" s="351"/>
      <c r="D72" s="153" t="s">
        <v>285</v>
      </c>
      <c r="E72" s="153" t="s">
        <v>286</v>
      </c>
      <c r="F72" s="169" t="s">
        <v>287</v>
      </c>
      <c r="G72" s="388"/>
      <c r="H72" s="379"/>
      <c r="I72" s="342"/>
      <c r="J72" s="14"/>
      <c r="K72" s="15"/>
      <c r="L72" s="200"/>
      <c r="M72" s="395"/>
      <c r="N72" s="26"/>
      <c r="O72" s="54"/>
      <c r="P72" s="527" t="s">
        <v>42</v>
      </c>
      <c r="Q72" s="528" t="s">
        <v>43</v>
      </c>
      <c r="R72" s="27"/>
    </row>
    <row r="73" spans="1:19" s="28" customFormat="1" ht="11.25" customHeight="1" x14ac:dyDescent="0.15">
      <c r="A73" s="321"/>
      <c r="B73" s="490" t="s">
        <v>66</v>
      </c>
      <c r="C73" s="350" t="s">
        <v>110</v>
      </c>
      <c r="D73" s="154" t="s">
        <v>111</v>
      </c>
      <c r="E73" s="148" t="s">
        <v>288</v>
      </c>
      <c r="F73" s="168" t="s">
        <v>289</v>
      </c>
      <c r="G73" s="388" t="s">
        <v>309</v>
      </c>
      <c r="H73" s="242"/>
      <c r="I73" s="81"/>
      <c r="J73" s="8"/>
      <c r="K73" s="9"/>
      <c r="L73" s="239"/>
      <c r="M73" s="394"/>
      <c r="N73" s="26"/>
      <c r="O73" s="54"/>
      <c r="P73" s="518"/>
      <c r="Q73" s="529"/>
      <c r="R73" s="27"/>
    </row>
    <row r="74" spans="1:19" s="28" customFormat="1" ht="11.25" customHeight="1" x14ac:dyDescent="0.15">
      <c r="A74" s="321"/>
      <c r="B74" s="491"/>
      <c r="C74" s="473"/>
      <c r="D74" s="227" t="s">
        <v>112</v>
      </c>
      <c r="E74" s="178" t="s">
        <v>290</v>
      </c>
      <c r="F74" s="192" t="s">
        <v>291</v>
      </c>
      <c r="G74" s="388"/>
      <c r="H74" s="242"/>
      <c r="I74" s="81"/>
      <c r="J74" s="8"/>
      <c r="K74" s="9"/>
      <c r="L74" s="239"/>
      <c r="M74" s="395"/>
      <c r="N74" s="26"/>
      <c r="O74" s="54"/>
      <c r="P74" s="509"/>
      <c r="Q74" s="511">
        <v>0</v>
      </c>
      <c r="R74" s="27"/>
      <c r="S74" s="22"/>
    </row>
    <row r="75" spans="1:19" s="28" customFormat="1" ht="11.25" customHeight="1" thickBot="1" x14ac:dyDescent="0.2">
      <c r="A75" s="322"/>
      <c r="B75" s="492"/>
      <c r="C75" s="374"/>
      <c r="D75" s="286"/>
      <c r="E75" s="298"/>
      <c r="F75" s="193"/>
      <c r="G75" s="394"/>
      <c r="H75" s="377"/>
      <c r="I75" s="341"/>
      <c r="J75" s="16"/>
      <c r="K75" s="17"/>
      <c r="L75" s="205"/>
      <c r="M75" s="394"/>
      <c r="N75" s="25"/>
      <c r="O75" s="52"/>
      <c r="P75" s="510"/>
      <c r="Q75" s="512"/>
      <c r="R75" s="23"/>
    </row>
    <row r="76" spans="1:19" s="22" customFormat="1" ht="11.25" customHeight="1" thickBot="1" x14ac:dyDescent="0.2">
      <c r="A76" s="322"/>
      <c r="B76" s="493"/>
      <c r="C76" s="338"/>
      <c r="D76" s="266"/>
      <c r="E76" s="267"/>
      <c r="F76" s="194"/>
      <c r="G76" s="395"/>
      <c r="H76" s="379"/>
      <c r="I76" s="342"/>
      <c r="J76" s="14"/>
      <c r="K76" s="15"/>
      <c r="L76" s="200"/>
      <c r="M76" s="395"/>
      <c r="N76" s="26"/>
      <c r="O76" s="54"/>
      <c r="R76" s="27"/>
    </row>
    <row r="77" spans="1:19" s="28" customFormat="1" ht="11.25" customHeight="1" x14ac:dyDescent="0.15">
      <c r="A77" s="322"/>
      <c r="B77" s="179"/>
      <c r="C77" s="258"/>
      <c r="D77" s="263"/>
      <c r="E77" s="264"/>
      <c r="F77" s="195"/>
      <c r="G77" s="382"/>
      <c r="H77" s="377"/>
      <c r="I77" s="341"/>
      <c r="J77" s="34"/>
      <c r="K77" s="35"/>
      <c r="L77" s="205"/>
      <c r="M77" s="394"/>
      <c r="N77" s="25"/>
      <c r="O77" s="22"/>
      <c r="P77" s="523" t="s">
        <v>314</v>
      </c>
      <c r="Q77" s="521" t="s">
        <v>309</v>
      </c>
      <c r="R77" s="23"/>
    </row>
    <row r="78" spans="1:19" s="22" customFormat="1" ht="12" customHeight="1" thickBot="1" x14ac:dyDescent="0.2">
      <c r="A78" s="322"/>
      <c r="B78" s="179"/>
      <c r="C78" s="258"/>
      <c r="D78" s="263"/>
      <c r="E78" s="264"/>
      <c r="F78" s="195"/>
      <c r="G78" s="383"/>
      <c r="H78" s="378"/>
      <c r="I78" s="362"/>
      <c r="J78" s="12"/>
      <c r="K78" s="13"/>
      <c r="L78" s="236"/>
      <c r="M78" s="382"/>
      <c r="N78" s="26"/>
      <c r="O78" s="28"/>
      <c r="P78" s="524"/>
      <c r="Q78" s="522"/>
      <c r="R78" s="27"/>
    </row>
    <row r="79" spans="1:19" s="28" customFormat="1" ht="11.25" customHeight="1" x14ac:dyDescent="0.15">
      <c r="A79" s="323">
        <v>2</v>
      </c>
      <c r="B79" s="390" t="s">
        <v>66</v>
      </c>
      <c r="C79" s="360" t="s">
        <v>313</v>
      </c>
      <c r="D79" s="245" t="s">
        <v>292</v>
      </c>
      <c r="E79" s="315" t="s">
        <v>293</v>
      </c>
      <c r="F79" s="190" t="s">
        <v>141</v>
      </c>
      <c r="G79" s="384" t="s">
        <v>309</v>
      </c>
      <c r="H79" s="363" t="s">
        <v>66</v>
      </c>
      <c r="I79" s="360" t="s">
        <v>313</v>
      </c>
      <c r="J79" s="245" t="s">
        <v>292</v>
      </c>
      <c r="K79" s="279" t="s">
        <v>293</v>
      </c>
      <c r="L79" s="190" t="s">
        <v>141</v>
      </c>
      <c r="M79" s="358" t="str">
        <f>IF(G79=0, "", G79)</f>
        <v>-</v>
      </c>
      <c r="N79" s="25"/>
      <c r="O79" s="22"/>
      <c r="P79" s="513" t="s">
        <v>310</v>
      </c>
      <c r="Q79" s="515" t="str">
        <f>IF(Q77="YES", "4", "0")</f>
        <v>0</v>
      </c>
      <c r="R79" s="23"/>
    </row>
    <row r="80" spans="1:19" s="22" customFormat="1" ht="12" customHeight="1" thickBot="1" x14ac:dyDescent="0.2">
      <c r="A80" s="324"/>
      <c r="B80" s="391"/>
      <c r="C80" s="361"/>
      <c r="D80" s="304" t="s">
        <v>294</v>
      </c>
      <c r="E80" s="305" t="s">
        <v>295</v>
      </c>
      <c r="F80" s="306" t="s">
        <v>143</v>
      </c>
      <c r="G80" s="385"/>
      <c r="H80" s="376"/>
      <c r="I80" s="361"/>
      <c r="J80" s="304" t="s">
        <v>294</v>
      </c>
      <c r="K80" s="316" t="s">
        <v>295</v>
      </c>
      <c r="L80" s="306" t="s">
        <v>143</v>
      </c>
      <c r="M80" s="359"/>
      <c r="N80" s="26"/>
      <c r="O80" s="28"/>
      <c r="P80" s="514"/>
      <c r="Q80" s="516"/>
      <c r="R80" s="27"/>
      <c r="S80" s="28"/>
    </row>
    <row r="81" spans="1:19" s="28" customFormat="1" ht="11.25" customHeight="1" thickBot="1" x14ac:dyDescent="0.2">
      <c r="A81" s="324"/>
      <c r="B81" s="447" t="s">
        <v>296</v>
      </c>
      <c r="C81" s="427" t="s">
        <v>113</v>
      </c>
      <c r="D81" s="246" t="s">
        <v>297</v>
      </c>
      <c r="E81" s="307" t="s">
        <v>298</v>
      </c>
      <c r="F81" s="256" t="s">
        <v>131</v>
      </c>
      <c r="G81" s="406" t="s">
        <v>309</v>
      </c>
      <c r="H81" s="421" t="s">
        <v>65</v>
      </c>
      <c r="I81" s="427" t="s">
        <v>119</v>
      </c>
      <c r="J81" s="317" t="s">
        <v>120</v>
      </c>
      <c r="K81" s="298" t="s">
        <v>301</v>
      </c>
      <c r="L81" s="297" t="s">
        <v>302</v>
      </c>
      <c r="M81" s="406" t="s">
        <v>309</v>
      </c>
      <c r="N81" s="26"/>
      <c r="P81" s="319"/>
      <c r="Q81" s="319"/>
      <c r="R81" s="27"/>
    </row>
    <row r="82" spans="1:19" s="28" customFormat="1" ht="14.25" customHeight="1" thickBot="1" x14ac:dyDescent="0.2">
      <c r="A82" s="325"/>
      <c r="B82" s="448"/>
      <c r="C82" s="428"/>
      <c r="D82" s="176" t="s">
        <v>114</v>
      </c>
      <c r="E82" s="191" t="s">
        <v>299</v>
      </c>
      <c r="F82" s="196" t="s">
        <v>133</v>
      </c>
      <c r="G82" s="407"/>
      <c r="H82" s="422"/>
      <c r="I82" s="428"/>
      <c r="J82" s="177" t="s">
        <v>122</v>
      </c>
      <c r="K82" s="294" t="s">
        <v>121</v>
      </c>
      <c r="L82" s="206" t="s">
        <v>303</v>
      </c>
      <c r="M82" s="407"/>
      <c r="N82" s="26"/>
      <c r="P82" s="517" t="s">
        <v>44</v>
      </c>
      <c r="Q82" s="519"/>
      <c r="R82" s="27"/>
      <c r="S82" s="11"/>
    </row>
    <row r="83" spans="1:19" s="28" customFormat="1" ht="11.25" customHeight="1" x14ac:dyDescent="0.15">
      <c r="A83" s="321">
        <v>3</v>
      </c>
      <c r="B83" s="401" t="s">
        <v>66</v>
      </c>
      <c r="C83" s="437" t="s">
        <v>115</v>
      </c>
      <c r="D83" s="285" t="s">
        <v>116</v>
      </c>
      <c r="E83" s="299" t="s">
        <v>117</v>
      </c>
      <c r="F83" s="180" t="s">
        <v>141</v>
      </c>
      <c r="G83" s="406" t="s">
        <v>309</v>
      </c>
      <c r="H83" s="423"/>
      <c r="I83" s="362"/>
      <c r="J83" s="233"/>
      <c r="K83" s="237"/>
      <c r="L83" s="207"/>
      <c r="M83" s="382"/>
      <c r="N83" s="36"/>
      <c r="O83" s="11"/>
      <c r="P83" s="518"/>
      <c r="Q83" s="520"/>
      <c r="R83" s="37"/>
      <c r="S83" s="11"/>
    </row>
    <row r="84" spans="1:19" s="11" customFormat="1" ht="11.25" customHeight="1" x14ac:dyDescent="0.15">
      <c r="A84" s="321"/>
      <c r="B84" s="432"/>
      <c r="C84" s="438"/>
      <c r="D84" s="289" t="s">
        <v>118</v>
      </c>
      <c r="E84" s="308" t="s">
        <v>15</v>
      </c>
      <c r="F84" s="197" t="s">
        <v>143</v>
      </c>
      <c r="G84" s="385"/>
      <c r="H84" s="424"/>
      <c r="I84" s="362"/>
      <c r="J84" s="233"/>
      <c r="K84" s="232"/>
      <c r="L84" s="67"/>
      <c r="M84" s="395"/>
      <c r="N84" s="36"/>
      <c r="P84" s="413" t="s">
        <v>45</v>
      </c>
      <c r="Q84" s="417">
        <f>COUNTIF(G33:G48,"YES")+COUNTIF(M9:M46,"YES")+COUNTIF(S25:S44,"YES")+COUNTIF(G71:G88,"YES")+COUNTIF(M81:M88,"YES")+COUNTIF(Q77,"YES")+IF(Q74=0,0,1)</f>
        <v>0</v>
      </c>
      <c r="R84" s="37"/>
      <c r="S84" s="28"/>
    </row>
    <row r="85" spans="1:19" s="11" customFormat="1" ht="11.25" customHeight="1" x14ac:dyDescent="0.15">
      <c r="A85" s="321"/>
      <c r="B85" s="433"/>
      <c r="C85" s="326"/>
      <c r="D85" s="253"/>
      <c r="E85" s="254"/>
      <c r="F85" s="198"/>
      <c r="G85" s="394"/>
      <c r="H85" s="203"/>
      <c r="I85" s="248"/>
      <c r="J85" s="249"/>
      <c r="K85" s="234"/>
      <c r="L85" s="208"/>
      <c r="M85" s="394"/>
      <c r="N85" s="26"/>
      <c r="O85" s="28"/>
      <c r="P85" s="414"/>
      <c r="Q85" s="418"/>
      <c r="R85" s="27"/>
      <c r="S85" s="28"/>
    </row>
    <row r="86" spans="1:19" s="28" customFormat="1" ht="12" customHeight="1" thickBot="1" x14ac:dyDescent="0.2">
      <c r="A86" s="332"/>
      <c r="B86" s="434"/>
      <c r="C86" s="327"/>
      <c r="D86" s="188"/>
      <c r="E86" s="189"/>
      <c r="F86" s="199"/>
      <c r="G86" s="383"/>
      <c r="H86" s="204"/>
      <c r="I86" s="250"/>
      <c r="J86" s="251"/>
      <c r="K86" s="238"/>
      <c r="L86" s="209"/>
      <c r="M86" s="383"/>
      <c r="N86" s="26"/>
      <c r="P86" s="415" t="s">
        <v>46</v>
      </c>
      <c r="Q86" s="419">
        <f>COUNTIF(G33:G48,"YES")*2+COUNTIF(M9:M24,"YES")*4+COUNTIF(M25:M46,"YES")*2+COUNTIF(S25:S44,"YES")*2+COUNTIF(G71:G88,"YES")*2+COUNTIF(M81:M88,"YES")*2+Q74+Q79</f>
        <v>0</v>
      </c>
      <c r="R86" s="27"/>
      <c r="S86" s="22"/>
    </row>
    <row r="87" spans="1:19" s="28" customFormat="1" ht="14.25" customHeight="1" thickBot="1" x14ac:dyDescent="0.2">
      <c r="A87" s="320">
        <v>4</v>
      </c>
      <c r="B87" s="435"/>
      <c r="C87" s="441"/>
      <c r="D87" s="225"/>
      <c r="E87" s="220"/>
      <c r="F87" s="229"/>
      <c r="G87" s="399"/>
      <c r="H87" s="425" t="s">
        <v>126</v>
      </c>
      <c r="I87" s="429" t="s">
        <v>105</v>
      </c>
      <c r="J87" s="245" t="s">
        <v>304</v>
      </c>
      <c r="K87" s="173" t="s">
        <v>305</v>
      </c>
      <c r="L87" s="210" t="s">
        <v>306</v>
      </c>
      <c r="M87" s="384" t="s">
        <v>309</v>
      </c>
      <c r="N87" s="25"/>
      <c r="O87" s="80"/>
      <c r="P87" s="416"/>
      <c r="Q87" s="420"/>
      <c r="R87" s="80"/>
    </row>
    <row r="88" spans="1:19" s="22" customFormat="1" ht="23.25" thickBot="1" x14ac:dyDescent="0.2">
      <c r="A88" s="321"/>
      <c r="B88" s="436"/>
      <c r="C88" s="442"/>
      <c r="D88" s="304"/>
      <c r="E88" s="309"/>
      <c r="F88" s="310"/>
      <c r="G88" s="395"/>
      <c r="H88" s="426"/>
      <c r="I88" s="338"/>
      <c r="J88" s="296" t="s">
        <v>127</v>
      </c>
      <c r="K88" s="318" t="s">
        <v>307</v>
      </c>
      <c r="L88" s="261" t="s">
        <v>308</v>
      </c>
      <c r="M88" s="385"/>
      <c r="N88" s="26"/>
      <c r="O88" s="28"/>
      <c r="P88" s="28"/>
      <c r="Q88" s="27"/>
      <c r="R88" s="27"/>
    </row>
    <row r="89" spans="1:19" s="28" customFormat="1" ht="11.25" x14ac:dyDescent="0.15">
      <c r="A89" s="321"/>
      <c r="B89" s="439"/>
      <c r="C89" s="311"/>
      <c r="D89" s="312"/>
      <c r="E89" s="313"/>
      <c r="F89" s="314"/>
      <c r="G89" s="394"/>
      <c r="H89" s="203"/>
      <c r="I89" s="248"/>
      <c r="J89" s="249"/>
      <c r="K89" s="234"/>
      <c r="L89" s="208"/>
      <c r="M89" s="394"/>
      <c r="N89" s="25"/>
      <c r="O89" s="22"/>
      <c r="P89" s="408" t="s">
        <v>47</v>
      </c>
      <c r="Q89" s="410">
        <f>IF(Q86&lt;14,1,0)</f>
        <v>1</v>
      </c>
      <c r="R89" s="23"/>
    </row>
    <row r="90" spans="1:19" s="22" customFormat="1" ht="12" thickBot="1" x14ac:dyDescent="0.2">
      <c r="A90" s="332"/>
      <c r="B90" s="440"/>
      <c r="C90" s="175"/>
      <c r="D90" s="187"/>
      <c r="E90" s="174"/>
      <c r="F90" s="228"/>
      <c r="G90" s="383"/>
      <c r="H90" s="204"/>
      <c r="I90" s="250"/>
      <c r="J90" s="251"/>
      <c r="K90" s="238"/>
      <c r="L90" s="209"/>
      <c r="M90" s="383"/>
      <c r="N90" s="26"/>
      <c r="O90" s="28"/>
      <c r="P90" s="324"/>
      <c r="Q90" s="411"/>
      <c r="R90" s="27"/>
      <c r="S90" s="28"/>
    </row>
    <row r="91" spans="1:19" s="28" customFormat="1" ht="12" thickBot="1" x14ac:dyDescent="0.2">
      <c r="A91" s="430">
        <v>5</v>
      </c>
      <c r="B91" s="102"/>
      <c r="C91" s="101"/>
      <c r="D91" s="8"/>
      <c r="E91" s="9"/>
      <c r="F91" s="239"/>
      <c r="G91" s="382"/>
      <c r="H91" s="423"/>
      <c r="I91" s="362"/>
      <c r="J91" s="12"/>
      <c r="K91" s="39"/>
      <c r="L91" s="207"/>
      <c r="M91" s="382"/>
      <c r="N91" s="26"/>
      <c r="P91" s="409"/>
      <c r="Q91" s="412"/>
      <c r="R91" s="27"/>
    </row>
    <row r="92" spans="1:19" s="28" customFormat="1" ht="11.25" x14ac:dyDescent="0.15">
      <c r="A92" s="430"/>
      <c r="B92" s="102"/>
      <c r="C92" s="100"/>
      <c r="D92" s="14"/>
      <c r="E92" s="15"/>
      <c r="F92" s="200"/>
      <c r="G92" s="395"/>
      <c r="H92" s="424"/>
      <c r="I92" s="362"/>
      <c r="J92" s="12"/>
      <c r="K92" s="9"/>
      <c r="L92" s="67"/>
      <c r="M92" s="395"/>
      <c r="N92" s="26"/>
      <c r="Q92" s="27"/>
      <c r="R92" s="27"/>
      <c r="S92" s="22"/>
    </row>
    <row r="93" spans="1:19" s="28" customFormat="1" x14ac:dyDescent="0.15">
      <c r="A93" s="430"/>
      <c r="B93" s="443"/>
      <c r="C93" s="445"/>
      <c r="D93" s="88"/>
      <c r="E93" s="96"/>
      <c r="F93" s="201"/>
      <c r="G93" s="382"/>
      <c r="H93" s="203"/>
      <c r="I93" s="103"/>
      <c r="J93" s="97"/>
      <c r="K93" s="17"/>
      <c r="L93" s="208"/>
      <c r="M93" s="394"/>
      <c r="N93" s="21"/>
      <c r="O93" s="2"/>
      <c r="P93" s="2"/>
      <c r="Q93" s="24"/>
      <c r="R93" s="24"/>
      <c r="S93" s="2"/>
    </row>
    <row r="94" spans="1:19" s="22" customFormat="1" ht="14.25" thickBot="1" x14ac:dyDescent="0.2">
      <c r="A94" s="431"/>
      <c r="B94" s="444"/>
      <c r="C94" s="446"/>
      <c r="D94" s="93"/>
      <c r="E94" s="93"/>
      <c r="F94" s="202"/>
      <c r="G94" s="383"/>
      <c r="H94" s="204"/>
      <c r="I94" s="104"/>
      <c r="J94" s="98"/>
      <c r="K94" s="57"/>
      <c r="L94" s="209"/>
      <c r="M94" s="383"/>
      <c r="N94" s="21"/>
      <c r="O94" s="2"/>
      <c r="P94" s="2"/>
      <c r="Q94" s="24"/>
      <c r="R94" s="24"/>
      <c r="S94" s="2"/>
    </row>
    <row r="95" spans="1:19" ht="13.5" customHeight="1" x14ac:dyDescent="0.15"/>
    <row r="97" ht="13.5" customHeight="1" x14ac:dyDescent="0.15"/>
    <row r="98" ht="12.75" customHeight="1" x14ac:dyDescent="0.15"/>
    <row r="99" ht="13.5" customHeight="1" x14ac:dyDescent="0.15"/>
    <row r="100" ht="12.75" customHeight="1" x14ac:dyDescent="0.15"/>
  </sheetData>
  <sheetProtection formatCells="0" formatColumns="0" formatRows="0"/>
  <mergeCells count="316">
    <mergeCell ref="A1:A5"/>
    <mergeCell ref="P74:P75"/>
    <mergeCell ref="Q74:Q75"/>
    <mergeCell ref="P79:P80"/>
    <mergeCell ref="Q79:Q80"/>
    <mergeCell ref="P82:P83"/>
    <mergeCell ref="Q82:Q83"/>
    <mergeCell ref="I69:I70"/>
    <mergeCell ref="M63:M64"/>
    <mergeCell ref="M21:M22"/>
    <mergeCell ref="M41:M42"/>
    <mergeCell ref="M43:M44"/>
    <mergeCell ref="M23:M24"/>
    <mergeCell ref="M45:M46"/>
    <mergeCell ref="I65:I66"/>
    <mergeCell ref="M47:M48"/>
    <mergeCell ref="I41:I42"/>
    <mergeCell ref="Q77:Q78"/>
    <mergeCell ref="P77:P78"/>
    <mergeCell ref="M77:M78"/>
    <mergeCell ref="P70:P71"/>
    <mergeCell ref="Q70:Q71"/>
    <mergeCell ref="P72:P73"/>
    <mergeCell ref="Q72:Q73"/>
    <mergeCell ref="G45:G46"/>
    <mergeCell ref="G39:G40"/>
    <mergeCell ref="I35:I36"/>
    <mergeCell ref="M19:M20"/>
    <mergeCell ref="M17:M18"/>
    <mergeCell ref="G17:G18"/>
    <mergeCell ref="G19:G20"/>
    <mergeCell ref="G21:G22"/>
    <mergeCell ref="G23:G24"/>
    <mergeCell ref="G25:G26"/>
    <mergeCell ref="G27:G28"/>
    <mergeCell ref="G29:G30"/>
    <mergeCell ref="O13:O14"/>
    <mergeCell ref="H21:H22"/>
    <mergeCell ref="I21:I22"/>
    <mergeCell ref="N21:N22"/>
    <mergeCell ref="O21:O22"/>
    <mergeCell ref="H23:H24"/>
    <mergeCell ref="I23:I24"/>
    <mergeCell ref="H17:H18"/>
    <mergeCell ref="H47:H48"/>
    <mergeCell ref="I47:I48"/>
    <mergeCell ref="H25:H26"/>
    <mergeCell ref="I25:I26"/>
    <mergeCell ref="H27:H28"/>
    <mergeCell ref="I27:I28"/>
    <mergeCell ref="M29:M30"/>
    <mergeCell ref="M27:M28"/>
    <mergeCell ref="M25:M26"/>
    <mergeCell ref="H29:H30"/>
    <mergeCell ref="O19:O20"/>
    <mergeCell ref="N9:N10"/>
    <mergeCell ref="G9:G10"/>
    <mergeCell ref="G11:G12"/>
    <mergeCell ref="A9:A32"/>
    <mergeCell ref="B15:B16"/>
    <mergeCell ref="C15:C16"/>
    <mergeCell ref="H15:H16"/>
    <mergeCell ref="I15:I16"/>
    <mergeCell ref="N15:N16"/>
    <mergeCell ref="B13:B14"/>
    <mergeCell ref="C13:C14"/>
    <mergeCell ref="H13:H14"/>
    <mergeCell ref="I13:I14"/>
    <mergeCell ref="G13:G14"/>
    <mergeCell ref="G15:G16"/>
    <mergeCell ref="M15:M16"/>
    <mergeCell ref="M13:M14"/>
    <mergeCell ref="M11:M12"/>
    <mergeCell ref="I31:I32"/>
    <mergeCell ref="N13:N14"/>
    <mergeCell ref="I29:I30"/>
    <mergeCell ref="I17:I18"/>
    <mergeCell ref="H19:H20"/>
    <mergeCell ref="I19:I20"/>
    <mergeCell ref="B57:B58"/>
    <mergeCell ref="C57:C58"/>
    <mergeCell ref="B49:B50"/>
    <mergeCell ref="C49:C50"/>
    <mergeCell ref="H49:H50"/>
    <mergeCell ref="I49:I50"/>
    <mergeCell ref="B55:B56"/>
    <mergeCell ref="H55:H56"/>
    <mergeCell ref="H57:H58"/>
    <mergeCell ref="G49:G50"/>
    <mergeCell ref="G55:G56"/>
    <mergeCell ref="G57:G58"/>
    <mergeCell ref="H71:H72"/>
    <mergeCell ref="B73:B74"/>
    <mergeCell ref="C73:C74"/>
    <mergeCell ref="B75:B76"/>
    <mergeCell ref="B63:B64"/>
    <mergeCell ref="C63:C64"/>
    <mergeCell ref="B59:B60"/>
    <mergeCell ref="C59:C60"/>
    <mergeCell ref="H59:H60"/>
    <mergeCell ref="B61:B62"/>
    <mergeCell ref="C61:C62"/>
    <mergeCell ref="H61:H62"/>
    <mergeCell ref="H75:H76"/>
    <mergeCell ref="B69:B70"/>
    <mergeCell ref="C69:C70"/>
    <mergeCell ref="H69:H70"/>
    <mergeCell ref="G59:G60"/>
    <mergeCell ref="G61:G62"/>
    <mergeCell ref="G63:G64"/>
    <mergeCell ref="B65:B66"/>
    <mergeCell ref="C65:C66"/>
    <mergeCell ref="H65:H66"/>
    <mergeCell ref="G75:G76"/>
    <mergeCell ref="B9:B10"/>
    <mergeCell ref="C9:C10"/>
    <mergeCell ref="H9:H10"/>
    <mergeCell ref="I9:I10"/>
    <mergeCell ref="S45:S46"/>
    <mergeCell ref="S25:S26"/>
    <mergeCell ref="S27:S28"/>
    <mergeCell ref="O39:O40"/>
    <mergeCell ref="N41:N42"/>
    <mergeCell ref="N39:N40"/>
    <mergeCell ref="N27:N28"/>
    <mergeCell ref="O15:O16"/>
    <mergeCell ref="O31:O32"/>
    <mergeCell ref="S15:S16"/>
    <mergeCell ref="S17:S18"/>
    <mergeCell ref="S19:S20"/>
    <mergeCell ref="S21:S22"/>
    <mergeCell ref="S23:S24"/>
    <mergeCell ref="O27:O28"/>
    <mergeCell ref="N23:N24"/>
    <mergeCell ref="O23:O24"/>
    <mergeCell ref="N17:N18"/>
    <mergeCell ref="O17:O18"/>
    <mergeCell ref="N19:N20"/>
    <mergeCell ref="S41:S42"/>
    <mergeCell ref="S43:S44"/>
    <mergeCell ref="H35:H36"/>
    <mergeCell ref="M39:M40"/>
    <mergeCell ref="S13:S14"/>
    <mergeCell ref="E2:I2"/>
    <mergeCell ref="G3:I3"/>
    <mergeCell ref="B7:G7"/>
    <mergeCell ref="O9:O10"/>
    <mergeCell ref="B11:B12"/>
    <mergeCell ref="C11:C12"/>
    <mergeCell ref="H11:H12"/>
    <mergeCell ref="I11:I12"/>
    <mergeCell ref="N11:N12"/>
    <mergeCell ref="B2:D2"/>
    <mergeCell ref="B3:D3"/>
    <mergeCell ref="B4:D4"/>
    <mergeCell ref="B5:D5"/>
    <mergeCell ref="E3:F3"/>
    <mergeCell ref="H7:M7"/>
    <mergeCell ref="N7:S7"/>
    <mergeCell ref="S9:S10"/>
    <mergeCell ref="S11:S12"/>
    <mergeCell ref="O11:O12"/>
    <mergeCell ref="S29:S30"/>
    <mergeCell ref="S31:S32"/>
    <mergeCell ref="S35:S36"/>
    <mergeCell ref="S33:S34"/>
    <mergeCell ref="S37:S38"/>
    <mergeCell ref="S39:S40"/>
    <mergeCell ref="M33:M34"/>
    <mergeCell ref="G33:G34"/>
    <mergeCell ref="H37:H38"/>
    <mergeCell ref="I37:I38"/>
    <mergeCell ref="N37:N38"/>
    <mergeCell ref="O37:O38"/>
    <mergeCell ref="G37:G38"/>
    <mergeCell ref="N35:N36"/>
    <mergeCell ref="O35:O36"/>
    <mergeCell ref="G35:G36"/>
    <mergeCell ref="S49:S50"/>
    <mergeCell ref="S47:S48"/>
    <mergeCell ref="N47:N48"/>
    <mergeCell ref="N49:N50"/>
    <mergeCell ref="O49:O50"/>
    <mergeCell ref="B53:G53"/>
    <mergeCell ref="H53:M53"/>
    <mergeCell ref="C75:C76"/>
    <mergeCell ref="I55:I56"/>
    <mergeCell ref="I57:I58"/>
    <mergeCell ref="I63:I64"/>
    <mergeCell ref="I75:I76"/>
    <mergeCell ref="M73:M74"/>
    <mergeCell ref="M75:M76"/>
    <mergeCell ref="I71:I72"/>
    <mergeCell ref="I59:I60"/>
    <mergeCell ref="I61:I62"/>
    <mergeCell ref="G69:G70"/>
    <mergeCell ref="G71:G72"/>
    <mergeCell ref="M67:M68"/>
    <mergeCell ref="G65:G66"/>
    <mergeCell ref="G67:G68"/>
    <mergeCell ref="G73:G74"/>
    <mergeCell ref="H63:H64"/>
    <mergeCell ref="A87:A90"/>
    <mergeCell ref="A91:A94"/>
    <mergeCell ref="B83:B84"/>
    <mergeCell ref="C79:C80"/>
    <mergeCell ref="B85:B86"/>
    <mergeCell ref="C81:C82"/>
    <mergeCell ref="B87:B88"/>
    <mergeCell ref="C83:C84"/>
    <mergeCell ref="B89:B90"/>
    <mergeCell ref="C87:C88"/>
    <mergeCell ref="B93:B94"/>
    <mergeCell ref="C93:C94"/>
    <mergeCell ref="B81:B82"/>
    <mergeCell ref="B79:B80"/>
    <mergeCell ref="G93:G94"/>
    <mergeCell ref="H81:H82"/>
    <mergeCell ref="H83:H84"/>
    <mergeCell ref="H87:H88"/>
    <mergeCell ref="I81:I82"/>
    <mergeCell ref="I83:I84"/>
    <mergeCell ref="I87:I88"/>
    <mergeCell ref="I91:I92"/>
    <mergeCell ref="H91:H92"/>
    <mergeCell ref="G81:G82"/>
    <mergeCell ref="G83:G84"/>
    <mergeCell ref="G85:G86"/>
    <mergeCell ref="G89:G90"/>
    <mergeCell ref="G91:G92"/>
    <mergeCell ref="G87:G88"/>
    <mergeCell ref="M93:M94"/>
    <mergeCell ref="M91:M92"/>
    <mergeCell ref="M89:M90"/>
    <mergeCell ref="M87:M88"/>
    <mergeCell ref="M85:M86"/>
    <mergeCell ref="M83:M84"/>
    <mergeCell ref="M81:M82"/>
    <mergeCell ref="P89:P91"/>
    <mergeCell ref="Q89:Q91"/>
    <mergeCell ref="P84:P85"/>
    <mergeCell ref="P86:P87"/>
    <mergeCell ref="Q84:Q85"/>
    <mergeCell ref="Q86:Q87"/>
    <mergeCell ref="G79:G80"/>
    <mergeCell ref="E4:I4"/>
    <mergeCell ref="E5:I5"/>
    <mergeCell ref="M9:M10"/>
    <mergeCell ref="M35:M36"/>
    <mergeCell ref="H33:H34"/>
    <mergeCell ref="I33:I34"/>
    <mergeCell ref="M37:M38"/>
    <mergeCell ref="M31:M32"/>
    <mergeCell ref="M65:M66"/>
    <mergeCell ref="G31:G32"/>
    <mergeCell ref="H31:H32"/>
    <mergeCell ref="M69:M70"/>
    <mergeCell ref="M71:M72"/>
    <mergeCell ref="M49:M50"/>
    <mergeCell ref="M55:M56"/>
    <mergeCell ref="M57:M58"/>
    <mergeCell ref="M59:M60"/>
    <mergeCell ref="M61:M62"/>
    <mergeCell ref="G47:G48"/>
    <mergeCell ref="H41:H42"/>
    <mergeCell ref="G41:G42"/>
    <mergeCell ref="H43:H44"/>
    <mergeCell ref="I43:I44"/>
    <mergeCell ref="J1:P1"/>
    <mergeCell ref="M79:M80"/>
    <mergeCell ref="I79:I80"/>
    <mergeCell ref="I77:I78"/>
    <mergeCell ref="I67:I68"/>
    <mergeCell ref="B67:B68"/>
    <mergeCell ref="C67:C68"/>
    <mergeCell ref="N33:N34"/>
    <mergeCell ref="O33:O34"/>
    <mergeCell ref="O41:O42"/>
    <mergeCell ref="N43:N44"/>
    <mergeCell ref="O43:O44"/>
    <mergeCell ref="N45:N46"/>
    <mergeCell ref="O45:O46"/>
    <mergeCell ref="N29:N30"/>
    <mergeCell ref="O29:O30"/>
    <mergeCell ref="N31:N32"/>
    <mergeCell ref="N25:N26"/>
    <mergeCell ref="O25:O26"/>
    <mergeCell ref="H79:H80"/>
    <mergeCell ref="H77:H78"/>
    <mergeCell ref="H67:H68"/>
    <mergeCell ref="G43:G44"/>
    <mergeCell ref="G77:G78"/>
    <mergeCell ref="A55:A78"/>
    <mergeCell ref="A79:A82"/>
    <mergeCell ref="C85:C86"/>
    <mergeCell ref="A33:A36"/>
    <mergeCell ref="A37:A40"/>
    <mergeCell ref="A41:A46"/>
    <mergeCell ref="A83:A86"/>
    <mergeCell ref="A47:A50"/>
    <mergeCell ref="B43:B44"/>
    <mergeCell ref="B47:B48"/>
    <mergeCell ref="C37:C38"/>
    <mergeCell ref="C41:C42"/>
    <mergeCell ref="C43:C44"/>
    <mergeCell ref="B37:B38"/>
    <mergeCell ref="B35:B36"/>
    <mergeCell ref="B33:B34"/>
    <mergeCell ref="C33:C34"/>
    <mergeCell ref="B41:B42"/>
    <mergeCell ref="B39:B40"/>
    <mergeCell ref="B71:B72"/>
    <mergeCell ref="C71:C72"/>
    <mergeCell ref="B45:B46"/>
    <mergeCell ref="C35:C36"/>
    <mergeCell ref="C55:C56"/>
  </mergeCells>
  <phoneticPr fontId="2"/>
  <conditionalFormatting sqref="Q84 Q86">
    <cfRule type="expression" dxfId="79" priority="85">
      <formula>IF(AND($Q$86&gt;=12,$Q$86&lt;14),TRUE,FALSE)</formula>
    </cfRule>
    <cfRule type="expression" dxfId="78" priority="151">
      <formula>$Q$86&gt;=14</formula>
    </cfRule>
  </conditionalFormatting>
  <conditionalFormatting sqref="G37:G38">
    <cfRule type="cellIs" dxfId="77" priority="143" operator="equal">
      <formula>"YES"</formula>
    </cfRule>
  </conditionalFormatting>
  <conditionalFormatting sqref="M9:M28">
    <cfRule type="cellIs" dxfId="76" priority="30" operator="equal">
      <formula>"YES"</formula>
    </cfRule>
  </conditionalFormatting>
  <conditionalFormatting sqref="S37:S40">
    <cfRule type="cellIs" dxfId="75" priority="114" operator="equal">
      <formula>"YES"</formula>
    </cfRule>
  </conditionalFormatting>
  <conditionalFormatting sqref="G83:G84">
    <cfRule type="cellIs" dxfId="74" priority="89" operator="equal">
      <formula>"YES"</formula>
    </cfRule>
  </conditionalFormatting>
  <conditionalFormatting sqref="G87:G88">
    <cfRule type="cellIs" dxfId="73" priority="88" operator="equal">
      <formula>"YES"</formula>
    </cfRule>
  </conditionalFormatting>
  <conditionalFormatting sqref="G33:G36">
    <cfRule type="containsText" dxfId="72" priority="147" operator="containsText" text="YES">
      <formula>NOT(ISERROR(SEARCH("YES",G33)))</formula>
    </cfRule>
  </conditionalFormatting>
  <conditionalFormatting sqref="M37:M40">
    <cfRule type="containsText" dxfId="71" priority="120" operator="containsText" text="YES">
      <formula>NOT(ISERROR(SEARCH("YES",M37)))</formula>
    </cfRule>
  </conditionalFormatting>
  <conditionalFormatting sqref="M41:M46">
    <cfRule type="containsText" dxfId="70" priority="119" operator="containsText" text="YES">
      <formula>NOT(ISERROR(SEARCH("YES",M41)))</formula>
    </cfRule>
  </conditionalFormatting>
  <conditionalFormatting sqref="G37:G38 Q84 Q86">
    <cfRule type="expression" dxfId="69" priority="51">
      <formula>COUNTIF($G$37:$G$40,"YES")&gt;1</formula>
    </cfRule>
  </conditionalFormatting>
  <conditionalFormatting sqref="M33:M36">
    <cfRule type="containsText" dxfId="68" priority="121" operator="containsText" text="YES">
      <formula>NOT(ISERROR(SEARCH("YES",M33)))</formula>
    </cfRule>
  </conditionalFormatting>
  <conditionalFormatting sqref="S33:S36">
    <cfRule type="cellIs" dxfId="67" priority="115" operator="equal">
      <formula>"YES"</formula>
    </cfRule>
  </conditionalFormatting>
  <conditionalFormatting sqref="G79:G82">
    <cfRule type="cellIs" dxfId="66" priority="93" operator="equal">
      <formula>"YES"</formula>
    </cfRule>
  </conditionalFormatting>
  <conditionalFormatting sqref="S9:S24 Q84 Q86">
    <cfRule type="expression" dxfId="65" priority="31">
      <formula>COUNTIF($S$9:$S$30,"YES")&gt;1</formula>
    </cfRule>
  </conditionalFormatting>
  <conditionalFormatting sqref="M33:M36 Q84 Q86">
    <cfRule type="expression" dxfId="64" priority="47">
      <formula>COUNTIF($M$33:$M$36,"YES")&gt;1</formula>
    </cfRule>
  </conditionalFormatting>
  <conditionalFormatting sqref="G55:G70 Q84 Q86">
    <cfRule type="expression" dxfId="63" priority="43">
      <formula>COUNTIF($G$55:$G$76,"YES")&gt;1</formula>
    </cfRule>
  </conditionalFormatting>
  <conditionalFormatting sqref="S37 S41 Q84 Q86">
    <cfRule type="expression" dxfId="62" priority="48">
      <formula>IF(AND($S$37="YES",COUNTIF($S$41,"YES")&gt;0),TRUE,FALSE)</formula>
    </cfRule>
  </conditionalFormatting>
  <conditionalFormatting sqref="G41:G42">
    <cfRule type="containsText" dxfId="61" priority="22" operator="containsText" text="YES">
      <formula>NOT(ISERROR(SEARCH("YES",G41)))</formula>
    </cfRule>
  </conditionalFormatting>
  <conditionalFormatting sqref="S41:S44">
    <cfRule type="containsText" dxfId="60" priority="65" operator="containsText" text="YES">
      <formula>NOT(ISERROR(SEARCH("YES",S41)))</formula>
    </cfRule>
  </conditionalFormatting>
  <conditionalFormatting sqref="S35:S36">
    <cfRule type="containsText" dxfId="59" priority="20" operator="containsText" text="YES">
      <formula>NOT(ISERROR(SEARCH("YES",S35)))</formula>
    </cfRule>
  </conditionalFormatting>
  <conditionalFormatting sqref="M81:M82">
    <cfRule type="cellIs" dxfId="58" priority="19" operator="equal">
      <formula>"YES"</formula>
    </cfRule>
  </conditionalFormatting>
  <conditionalFormatting sqref="G35:G36 Q84 Q86">
    <cfRule type="expression" dxfId="57" priority="18">
      <formula>COUNTIF($G$33:$G$36,"YES")&gt;1</formula>
    </cfRule>
  </conditionalFormatting>
  <conditionalFormatting sqref="G33:G34 Q84 Q86">
    <cfRule type="expression" dxfId="56" priority="17">
      <formula>COUNTIF($G$33:$G$36,"YES")&gt;1</formula>
    </cfRule>
  </conditionalFormatting>
  <conditionalFormatting sqref="M41:M44 Q84 Q86">
    <cfRule type="expression" dxfId="55" priority="50">
      <formula>COUNTIF($M$41:$M$46,"YES")&gt;1</formula>
    </cfRule>
  </conditionalFormatting>
  <conditionalFormatting sqref="S25:S28">
    <cfRule type="cellIs" dxfId="54" priority="14" operator="equal">
      <formula>"YES"</formula>
    </cfRule>
  </conditionalFormatting>
  <conditionalFormatting sqref="G71:G74">
    <cfRule type="cellIs" dxfId="53" priority="12" operator="equal">
      <formula>"YES"</formula>
    </cfRule>
  </conditionalFormatting>
  <conditionalFormatting sqref="M55:M56 Q84 Q86">
    <cfRule type="expression" dxfId="52" priority="10">
      <formula>COUNTIF($G$79:$G$82,"YES")&gt;1</formula>
    </cfRule>
  </conditionalFormatting>
  <conditionalFormatting sqref="M79:M80 Q84 Q86">
    <cfRule type="expression" dxfId="51" priority="9">
      <formula>COUNTIF($G$79:$G$82,"YES")&gt;1</formula>
    </cfRule>
  </conditionalFormatting>
  <conditionalFormatting sqref="M81 M79 M55 G79 Q84 Q86">
    <cfRule type="expression" dxfId="50" priority="8">
      <formula>COUNTIF($M$79:$M$82,"YES")&gt;1</formula>
    </cfRule>
  </conditionalFormatting>
  <conditionalFormatting sqref="G71:G74 Q84 Q86">
    <cfRule type="expression" dxfId="49" priority="11">
      <formula>COUNTIF($G$55:$G$74,"YES")&gt;1</formula>
    </cfRule>
  </conditionalFormatting>
  <conditionalFormatting sqref="S9:S28">
    <cfRule type="expression" dxfId="48" priority="13">
      <formula>COUNTIF($S$9:$S$28,"YES")&gt;1</formula>
    </cfRule>
  </conditionalFormatting>
  <conditionalFormatting sqref="M9:M28 Q84 Q86">
    <cfRule type="expression" dxfId="47" priority="16">
      <formula>COUNTIF($M$9:$M$30,"YES")&gt;1</formula>
    </cfRule>
  </conditionalFormatting>
  <conditionalFormatting sqref="S41:S44 Q84 Q86">
    <cfRule type="expression" dxfId="46" priority="21">
      <formula>COUNTIF($S$41:$S$44,"YES")&gt;1</formula>
    </cfRule>
  </conditionalFormatting>
  <conditionalFormatting sqref="M37:M40 Q84 Q86">
    <cfRule type="expression" dxfId="45" priority="32">
      <formula>COUNTIF($M$37:$M$40,"YES")&gt;1</formula>
    </cfRule>
  </conditionalFormatting>
  <conditionalFormatting sqref="S37:S40 Q84 Q86">
    <cfRule type="expression" dxfId="44" priority="34">
      <formula>COUNTIF($S$37:$S$40,"YES")&gt;1</formula>
    </cfRule>
  </conditionalFormatting>
  <conditionalFormatting sqref="G79:G82 Q84 Q86">
    <cfRule type="expression" dxfId="43" priority="46">
      <formula>COUNTIF($G$79:$G$82,"YES")&gt;1</formula>
    </cfRule>
  </conditionalFormatting>
  <conditionalFormatting sqref="S33:S36 Q84 Q86">
    <cfRule type="expression" dxfId="42" priority="49">
      <formula>COUNTIF($S$33,"YES")&gt;1</formula>
    </cfRule>
  </conditionalFormatting>
  <conditionalFormatting sqref="Q84 Q86">
    <cfRule type="expression" dxfId="41" priority="62">
      <formula>$Q$86&lt;12</formula>
    </cfRule>
  </conditionalFormatting>
  <conditionalFormatting sqref="M87:M88">
    <cfRule type="cellIs" dxfId="40" priority="7" operator="equal">
      <formula>"YES"</formula>
    </cfRule>
  </conditionalFormatting>
  <conditionalFormatting sqref="Q79:Q80">
    <cfRule type="expression" dxfId="39" priority="5">
      <formula>($Q$77="YES")</formula>
    </cfRule>
  </conditionalFormatting>
  <conditionalFormatting sqref="Q77:Q78">
    <cfRule type="expression" dxfId="38" priority="3">
      <formula>($Q$77="YES")</formula>
    </cfRule>
  </conditionalFormatting>
  <conditionalFormatting sqref="P74:Q75">
    <cfRule type="cellIs" dxfId="37" priority="1" operator="between">
      <formula>0</formula>
      <formula>4</formula>
    </cfRule>
  </conditionalFormatting>
  <dataValidations count="8">
    <dataValidation type="list" allowBlank="1" showInputMessage="1" showErrorMessage="1" sqref="G33:G38 M87:M88 G79:G84 G87:G88 S25:S28 M33:M46 G41:G42 M9:M28 S33:S44 G71:G74 M81:M82 Q77:Q78" xr:uid="{00000000-0002-0000-0000-000000000000}">
      <formula1>"-,YES"</formula1>
    </dataValidation>
    <dataValidation type="textLength" allowBlank="1" showInputMessage="1" showErrorMessage="1" sqref="M29 M91 M49 G43 M47 M85 G15 G49 G75 S45 S49 S47 G17 G19 G21 G23 G25 G27 G29 G47 G39 G45 G89 G93 G85 M77 M57 M59 M61 M63 M65 M67 M69 M71 M73 M75 G91 M93 M83 G9 G11 G13 G31 M31 S31 M89 G77" xr:uid="{00000000-0002-0000-0000-000001000000}">
      <formula1>0</formula1>
      <formula2>0</formula2>
    </dataValidation>
    <dataValidation type="list" allowBlank="1" showInputMessage="1" showErrorMessage="1" sqref="Q74" xr:uid="{00000000-0002-0000-0000-000002000000}">
      <formula1>"0,2,3,4"</formula1>
    </dataValidation>
    <dataValidation type="list" showInputMessage="1" showErrorMessage="1" sqref="G3:I3" xr:uid="{00000000-0002-0000-0000-000003000000}">
      <formula1>"Shool,Graduate School"</formula1>
    </dataValidation>
    <dataValidation type="list" allowBlank="1" showInputMessage="1" showErrorMessage="1" sqref="E3:F3" xr:uid="{00000000-0002-0000-0000-000004000000}">
      <formula1>"Economics,Engneering,Engneering Science,Foreign Studies,Human Sciences,Law,Letters,Science"</formula1>
    </dataValidation>
    <dataValidation type="textLength" allowBlank="1" showInputMessage="1" showErrorMessage="1" sqref="E2:I2" xr:uid="{00000000-0002-0000-0000-000005000000}">
      <formula1>8</formula1>
      <formula2>8</formula2>
    </dataValidation>
    <dataValidation imeMode="off" allowBlank="1" showInputMessage="1" showErrorMessage="1" sqref="E94 K36 Q46 E80:E82 E42 K34 Q36 Q34 E88:E90 K56 K80 K88" xr:uid="{00000000-0002-0000-0000-000006000000}"/>
    <dataValidation allowBlank="1" showInputMessage="1" showErrorMessage="1" promptTitle="希望開講曜日・時間" prompt="開講希望曜日と時間を入力してください。調整が必要な場合、OUSSEPコーディネーターより連絡させていただきます。" sqref="C35 C41 I33 O33" xr:uid="{3053C669-95DA-4F2B-B376-91F95863E82D}"/>
  </dataValidations>
  <printOptions horizontalCentered="1" verticalCentered="1"/>
  <pageMargins left="0.23622047244094491" right="0.23622047244094491" top="0.35433070866141736" bottom="0.35433070866141736" header="0.31496062992125984" footer="0.31496062992125984"/>
  <pageSetup paperSize="8" scale="57"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6"/>
  <sheetViews>
    <sheetView zoomScale="110" zoomScaleNormal="110" workbookViewId="0">
      <selection activeCell="E33" sqref="E33"/>
    </sheetView>
  </sheetViews>
  <sheetFormatPr defaultRowHeight="13.5" x14ac:dyDescent="0.15"/>
  <sheetData>
    <row r="1" spans="1:14" x14ac:dyDescent="0.15">
      <c r="A1" t="s">
        <v>71</v>
      </c>
      <c r="B1" s="76" t="s">
        <v>48</v>
      </c>
      <c r="C1" s="76" t="s">
        <v>49</v>
      </c>
      <c r="D1" s="76" t="s">
        <v>50</v>
      </c>
      <c r="E1" s="76" t="s">
        <v>51</v>
      </c>
      <c r="F1" s="76" t="s">
        <v>52</v>
      </c>
      <c r="G1" s="76" t="s">
        <v>53</v>
      </c>
      <c r="H1" s="76" t="s">
        <v>54</v>
      </c>
      <c r="I1" s="76" t="s">
        <v>55</v>
      </c>
      <c r="J1" s="76"/>
      <c r="L1" s="77" t="s">
        <v>61</v>
      </c>
      <c r="M1" s="78" t="s">
        <v>62</v>
      </c>
      <c r="N1" s="79" t="s">
        <v>63</v>
      </c>
    </row>
    <row r="2" spans="1:14" x14ac:dyDescent="0.15">
      <c r="A2">
        <f>[0]!StudentID</f>
        <v>0</v>
      </c>
      <c r="B2" t="str">
        <f>[0]!FirstName &amp; " " &amp; [0]!FamilyName</f>
        <v xml:space="preserve"> </v>
      </c>
      <c r="C2" s="76" t="s">
        <v>56</v>
      </c>
      <c r="D2" s="76">
        <v>1</v>
      </c>
    </row>
    <row r="3" spans="1:14" x14ac:dyDescent="0.15">
      <c r="A3">
        <f>[0]!StudentID</f>
        <v>0</v>
      </c>
      <c r="B3" t="str">
        <f>[0]!FirstName &amp; " " &amp; [0]!FamilyName</f>
        <v xml:space="preserve"> </v>
      </c>
      <c r="C3" s="76" t="s">
        <v>56</v>
      </c>
      <c r="D3" s="76">
        <v>2</v>
      </c>
      <c r="E3" s="107" t="str">
        <f>IFERROR( INDEX([0]!Monday2, MATCH("YES", [0]!Monday2_Y, 0), 2), "")</f>
        <v/>
      </c>
      <c r="F3" t="str">
        <f>IF(N3=1, "", INDEX(Monday2, M3+1, 3))</f>
        <v/>
      </c>
      <c r="G3" t="str">
        <f>IF($N3=1, "", IF(INDEX(Monday2, $M3+1, 4)="", INDEX(Monday2, $M3, 4), INDEX(Monday2, $M3+1, 4)))</f>
        <v/>
      </c>
      <c r="H3" t="str">
        <f>IF($N3=1, "", INDEX(Monday2, $M3, 1))</f>
        <v/>
      </c>
      <c r="I3" t="str">
        <f>IF($N3=1, "", IF(INDEX(Monday2, $M3+1, 5)="", INDEX(Monday2, $M3, 5), INDEX(Monday2, $M3+1, 5)))</f>
        <v/>
      </c>
      <c r="L3">
        <f>COUNTIF(Monday2_Y, "YES")</f>
        <v>0</v>
      </c>
      <c r="M3" t="str">
        <f>IF(L3&gt;=1, MATCH("Yes", Monday2_Y, 0), "")</f>
        <v/>
      </c>
      <c r="N3">
        <f>IF(L3&lt;&gt;1, 1, 0)</f>
        <v>1</v>
      </c>
    </row>
    <row r="4" spans="1:14" x14ac:dyDescent="0.15">
      <c r="A4">
        <f>[0]!StudentID</f>
        <v>0</v>
      </c>
      <c r="B4" t="str">
        <f>[0]!FirstName &amp; " " &amp; [0]!FamilyName</f>
        <v xml:space="preserve"> </v>
      </c>
      <c r="C4" s="76" t="s">
        <v>56</v>
      </c>
      <c r="D4" s="76">
        <v>3</v>
      </c>
      <c r="E4" s="107" t="str">
        <f>IFERROR( INDEX([0]!Monday3, MATCH("YES", [0]!Monday3_Y, 0), 2), "")</f>
        <v/>
      </c>
      <c r="F4" t="str">
        <f>IF(N4=1, "", INDEX(Monday3, M4+1, 3))</f>
        <v/>
      </c>
      <c r="G4" t="str">
        <f>IF($N4=1, "", IF(INDEX(Monday3, $M4+1, 4)="", INDEX(Monday3, $M4, 4), INDEX(Monday3, $M4+1, 4)))</f>
        <v/>
      </c>
      <c r="H4" t="str">
        <f>IF($N4=1, "", INDEX(Monday3, $M4, 1))</f>
        <v/>
      </c>
      <c r="I4" t="str">
        <f>IF($N4=1, "", IF(INDEX(Monday3, $M4+1, 5)="", INDEX(Monday3, $M4, 5), INDEX(Monday3, $M4+1, 5)))</f>
        <v/>
      </c>
      <c r="L4">
        <f>COUNTIF(Monday3_Y, "YES")</f>
        <v>0</v>
      </c>
      <c r="M4" t="str">
        <f>IF(L4&gt;=1, MATCH("Yes", Monday3_Y, 0), "")</f>
        <v/>
      </c>
      <c r="N4">
        <f t="shared" ref="N4:N5" si="0">IF(L4&lt;&gt;1, 1, 0)</f>
        <v>1</v>
      </c>
    </row>
    <row r="5" spans="1:14" x14ac:dyDescent="0.15">
      <c r="A5">
        <f>[0]!StudentID</f>
        <v>0</v>
      </c>
      <c r="B5" t="str">
        <f>[0]!FirstName &amp; " " &amp; [0]!FamilyName</f>
        <v xml:space="preserve"> </v>
      </c>
      <c r="C5" s="76" t="s">
        <v>56</v>
      </c>
      <c r="D5" s="76">
        <v>4</v>
      </c>
      <c r="E5" s="107" t="str">
        <f>IFERROR( INDEX([0]!Monday4, MATCH("YES", [0]!Monday4_Y, 0), 2), "")</f>
        <v/>
      </c>
      <c r="F5" t="str">
        <f>IF(N5=1, "", INDEX(Monday4, M5+1, 3))</f>
        <v/>
      </c>
      <c r="G5" t="str">
        <f>IF($N5=1, "", IF(INDEX(Monday4, $M5+1, 4)="", INDEX(Monday4, $M5, 4), INDEX(Monday4, $M5+1, 4)))</f>
        <v/>
      </c>
      <c r="H5" t="str">
        <f>IF($N5=1, "", INDEX(Monday4, $M5, 1))</f>
        <v/>
      </c>
      <c r="I5" t="str">
        <f>IF($N5=1, "", IF(INDEX(Monday4, $M5+1, 5)="", INDEX(Monday4, $M5, 5), INDEX(Monday4, $M5+1, 5)))</f>
        <v/>
      </c>
      <c r="L5">
        <f>COUNTIF(Monday4_Y, "YES")</f>
        <v>0</v>
      </c>
      <c r="M5" t="str">
        <f>IF(L5&gt;=1, MATCH("Yes", Monday4_Y, 0), "")</f>
        <v/>
      </c>
      <c r="N5">
        <f t="shared" si="0"/>
        <v>1</v>
      </c>
    </row>
    <row r="6" spans="1:14" x14ac:dyDescent="0.15">
      <c r="A6">
        <f>[0]!StudentID</f>
        <v>0</v>
      </c>
      <c r="B6" t="str">
        <f>[0]!FirstName &amp; " " &amp; [0]!FamilyName</f>
        <v xml:space="preserve"> </v>
      </c>
      <c r="C6" s="76" t="s">
        <v>56</v>
      </c>
      <c r="D6" s="76">
        <v>5</v>
      </c>
      <c r="E6" s="107" t="str">
        <f>IFERROR( INDEX([0]!Monday5, MATCH("YES", [0]!Monday5_Y, 0), 2), "")</f>
        <v/>
      </c>
      <c r="F6" t="str">
        <f>IF(N6=1, "", INDEX(Monday5, M6+1, 3))</f>
        <v/>
      </c>
      <c r="G6" t="str">
        <f>IF($N6=1, "", IF(INDEX(Monday5, $M6+1, 4)="", INDEX(Monday5, $M6, 4), INDEX(Monday5, $M6+1, 4)))</f>
        <v/>
      </c>
      <c r="H6" t="str">
        <f>IF($N6=1, "", INDEX(Monday5, $M6, 1))</f>
        <v/>
      </c>
      <c r="I6" t="str">
        <f>IF($N6=1, "", IF(INDEX(Monday5, $M6+1, 5)="", INDEX(Monday5, $M6, 5), INDEX(Monday5, $M6+1, 5)))</f>
        <v/>
      </c>
      <c r="L6">
        <f>COUNTIF(Monday5_Y, "YES")</f>
        <v>0</v>
      </c>
      <c r="M6" t="str">
        <f>IF(L6&gt;=1, MATCH("Yes", Monday5_Y, 0), "")</f>
        <v/>
      </c>
      <c r="N6">
        <f t="shared" ref="N6" si="1">IF(L6&lt;&gt;1, 1, 0)</f>
        <v>1</v>
      </c>
    </row>
    <row r="7" spans="1:14" x14ac:dyDescent="0.15">
      <c r="A7">
        <f>[0]!StudentID</f>
        <v>0</v>
      </c>
      <c r="B7" t="str">
        <f>[0]!FirstName &amp; " " &amp; [0]!FamilyName</f>
        <v xml:space="preserve"> </v>
      </c>
      <c r="C7" s="76" t="s">
        <v>57</v>
      </c>
      <c r="D7" s="76">
        <v>1</v>
      </c>
      <c r="E7" s="107" t="str">
        <f>IFERROR( INDEX([0]!Tuesday1, MATCH("YES", [0]!Tuesday1_Y, 0), 2), "")</f>
        <v/>
      </c>
      <c r="F7" t="str">
        <f>IF(N7=1, "", INDEX(Tuesday1, M7+1, 3))</f>
        <v/>
      </c>
      <c r="G7" t="str">
        <f>IF($N7=1, "", IF(INDEX(Tuesday1, $M7+1, 4)="", INDEX(Tuesday1, $M7, 4), INDEX(Tuesday1, $M7+1, 4)))</f>
        <v/>
      </c>
      <c r="H7" t="str">
        <f>IF($N7=1, "", INDEX(Tuesday1, $M7, 1))</f>
        <v/>
      </c>
      <c r="I7" t="str">
        <f>IF($N7=1, "", IF(INDEX(Tuesday1, $M7+1, 5)="", INDEX(Tuesday1, $M7, 5), INDEX(Tuesday1, $M7+1, 5)))</f>
        <v/>
      </c>
      <c r="L7">
        <f>COUNTIF(Tuesday1_Y, "YES")</f>
        <v>0</v>
      </c>
      <c r="M7" t="str">
        <f>IF(L7&gt;=1, MATCH("Yes", Tuesday1_Y, 0), "")</f>
        <v/>
      </c>
      <c r="N7">
        <f>IF(L7&lt;&gt;1, 1, 0)</f>
        <v>1</v>
      </c>
    </row>
    <row r="8" spans="1:14" x14ac:dyDescent="0.15">
      <c r="A8">
        <f>[0]!StudentID</f>
        <v>0</v>
      </c>
      <c r="B8" t="str">
        <f>[0]!FirstName &amp; " " &amp; [0]!FamilyName</f>
        <v xml:space="preserve"> </v>
      </c>
      <c r="C8" s="76" t="s">
        <v>57</v>
      </c>
      <c r="D8" s="76">
        <v>2</v>
      </c>
      <c r="E8" s="107" t="str">
        <f>IFERROR( INDEX([0]!Tuesday2, MATCH("YES", [0]!Tuesday2_Y, 0), 2), "")</f>
        <v/>
      </c>
      <c r="F8" t="str">
        <f>IF(N8=1, "", INDEX(Tuesday2, M8+1, 3))</f>
        <v/>
      </c>
      <c r="G8" t="str">
        <f>IF($N8=1, "", IF(INDEX(Tuesday2, $M8+1, 4)="", INDEX(Tuesday2, $M8, 4), INDEX(Tuesday2, $M8+1, 4)))</f>
        <v/>
      </c>
      <c r="H8" t="str">
        <f>IF($N8=1, "", INDEX(Tuesday2, $M8, 1))</f>
        <v/>
      </c>
      <c r="I8" t="str">
        <f>IF($N8=1, "", IF(INDEX(Tuesday2, $M8+1, 5)="", INDEX(Tuesday2, $M8, 5), INDEX(Tuesday2, $M8+1, 5)))</f>
        <v/>
      </c>
      <c r="L8">
        <f>COUNTIF(Tuesday2_Y, "YES")</f>
        <v>0</v>
      </c>
      <c r="M8" t="str">
        <f>IF(L8&gt;=1, MATCH("Yes", Tuesday2_Y, 0), "")</f>
        <v/>
      </c>
      <c r="N8">
        <f>IF(L8&lt;&gt;1, 1, 0)</f>
        <v>1</v>
      </c>
    </row>
    <row r="9" spans="1:14" x14ac:dyDescent="0.15">
      <c r="A9">
        <f>[0]!StudentID</f>
        <v>0</v>
      </c>
      <c r="B9" t="str">
        <f>[0]!FirstName &amp; " " &amp; [0]!FamilyName</f>
        <v xml:space="preserve"> </v>
      </c>
      <c r="C9" s="76" t="s">
        <v>57</v>
      </c>
      <c r="D9" s="76">
        <v>3</v>
      </c>
      <c r="E9" s="107" t="str">
        <f>IFERROR( INDEX([0]!Tuesday3, MATCH("YES", [0]!Tuesday3_Y, 0), 2), "")</f>
        <v/>
      </c>
      <c r="F9" t="str">
        <f>IF(N9=1, "", INDEX(Tuesday3, M9+1, 3))</f>
        <v/>
      </c>
      <c r="G9" t="str">
        <f>IF($N9=1, "", IF(INDEX(Tuesday3, $M9+1, 4)="", INDEX(Tuesday3, $M9, 4), INDEX(Tuesday3, $M9+1, 4)))</f>
        <v/>
      </c>
      <c r="H9" t="str">
        <f>IF($N9=1, "", INDEX(Tuesday3, $M9, 1))</f>
        <v/>
      </c>
      <c r="I9" t="str">
        <f>IF($N9=1, "", IF(INDEX(Tuesday3, $M9+1, 5)="", INDEX(Tuesday3, $M9, 5), INDEX(Tuesday3, $M9+1, 5)))</f>
        <v/>
      </c>
      <c r="L9">
        <f>COUNTIF(Tuesday3_Y, "YES")</f>
        <v>0</v>
      </c>
      <c r="M9" t="str">
        <f>IF(L9&gt;=1, MATCH("Yes",Tuesday3_Y, 0), "")</f>
        <v/>
      </c>
      <c r="N9">
        <f>IF(L9&lt;&gt;1, 1, 0)</f>
        <v>1</v>
      </c>
    </row>
    <row r="10" spans="1:14" x14ac:dyDescent="0.15">
      <c r="A10">
        <f>[0]!StudentID</f>
        <v>0</v>
      </c>
      <c r="B10" t="str">
        <f>[0]!FirstName &amp; " " &amp; [0]!FamilyName</f>
        <v xml:space="preserve"> </v>
      </c>
      <c r="C10" s="76" t="s">
        <v>57</v>
      </c>
      <c r="D10" s="76">
        <v>4</v>
      </c>
      <c r="E10" s="107" t="str">
        <f>IFERROR( INDEX([0]!Tuesday4, MATCH("YES", [0]!Tuesday4_Y, 0), 2), "")</f>
        <v/>
      </c>
      <c r="F10" t="str">
        <f>IF(N10=1, "", INDEX(Tuesday4, M10+1, 3))</f>
        <v/>
      </c>
      <c r="G10" t="str">
        <f>IF($N10=1, "", IF(INDEX(Tuesday4, $M10+1, 4)="", INDEX(Tuesday4, $M10, 4), INDEX(Tuesday4, $M10+1, 4)))</f>
        <v/>
      </c>
      <c r="H10" t="str">
        <f>IF($N10=1, "", INDEX(Tuesday4, $M10, 1))</f>
        <v/>
      </c>
      <c r="I10" t="str">
        <f>IF($N10=1, "", IF(INDEX(Tuesday4, $M10+1, 5)="", INDEX(Tuesday4, $M10, 5), INDEX(Tuesday4, $M10+1, 5)))</f>
        <v/>
      </c>
      <c r="L10">
        <f>COUNTIF(Tuesday4_Y, "YES")</f>
        <v>0</v>
      </c>
      <c r="M10" t="str">
        <f>IF(L10&gt;=1, MATCH("Yes", Tuesday4_Y, 0), "")</f>
        <v/>
      </c>
      <c r="N10">
        <f>IF(L10&lt;&gt;1, 1, 0)</f>
        <v>1</v>
      </c>
    </row>
    <row r="11" spans="1:14" x14ac:dyDescent="0.15">
      <c r="A11">
        <f>[0]!StudentID</f>
        <v>0</v>
      </c>
      <c r="B11" t="str">
        <f>[0]!FirstName &amp; " " &amp; [0]!FamilyName</f>
        <v xml:space="preserve"> </v>
      </c>
      <c r="C11" s="76" t="s">
        <v>57</v>
      </c>
      <c r="D11">
        <v>5</v>
      </c>
      <c r="E11" s="107"/>
    </row>
    <row r="12" spans="1:14" x14ac:dyDescent="0.15">
      <c r="A12">
        <f>[0]!StudentID</f>
        <v>0</v>
      </c>
      <c r="B12" t="str">
        <f>[0]!FirstName &amp; " " &amp; [0]!FamilyName</f>
        <v xml:space="preserve"> </v>
      </c>
      <c r="C12" s="76" t="s">
        <v>58</v>
      </c>
      <c r="D12" s="76">
        <v>1</v>
      </c>
      <c r="E12" s="107" t="str">
        <f>IFERROR( INDEX([0]!Wednesday1, MATCH("YES", [0]!Wednesday1_Y, 0), 2), "")</f>
        <v/>
      </c>
      <c r="F12" t="str">
        <f>IF(N12=1, "", INDEX(Wednesday1, M12+1, 3))</f>
        <v/>
      </c>
      <c r="G12" t="str">
        <f>IF($N12=1, "", IF(INDEX(Wednesday1, $M12+1, 4)="", INDEX(Wednesday1, $M12, 4), INDEX(Wednesday1, $M12+1, 4)))</f>
        <v/>
      </c>
      <c r="H12" t="str">
        <f>IF($N12=1, "", INDEX(Wednesday1, $M12, 1))</f>
        <v/>
      </c>
      <c r="I12" t="str">
        <f>IF($N12=1, "", IF(INDEX(Wednesday1, $M12+1, 5)="", INDEX(Wednesday1, $M12, 5), INDEX(Wednesday1, $M12+1, 5)))</f>
        <v/>
      </c>
      <c r="L12">
        <f>COUNTIF(Wednesday1_Y, "YES")</f>
        <v>0</v>
      </c>
      <c r="M12" t="str">
        <f>IF(L12&gt;=1, MATCH("Yes", Wednesday1_Y, 0), "")</f>
        <v/>
      </c>
      <c r="N12">
        <f>IF(L12&lt;&gt;1, 1, 0)</f>
        <v>1</v>
      </c>
    </row>
    <row r="13" spans="1:14" x14ac:dyDescent="0.15">
      <c r="A13">
        <f>[0]!StudentID</f>
        <v>0</v>
      </c>
      <c r="B13" t="str">
        <f>[0]!FirstName &amp; " " &amp; [0]!FamilyName</f>
        <v xml:space="preserve"> </v>
      </c>
      <c r="C13" s="76" t="s">
        <v>58</v>
      </c>
      <c r="D13" s="76">
        <v>2</v>
      </c>
      <c r="E13" s="107" t="str">
        <f>IFERROR( INDEX([0]!Wednesday2, MATCH("YES", [0]!Wednesday2_Y, 0), 2), "")</f>
        <v/>
      </c>
      <c r="F13" t="str">
        <f>IF(N13=1, "", INDEX(Wednesday2, M13+1, 3))</f>
        <v/>
      </c>
      <c r="G13" t="str">
        <f>IF($N13=1, "", IF(INDEX(Wednesday2, $M13+1, 4)="", INDEX(Wednesday2, $M13, 4), INDEX(Wednesday2, $M13+1, 4)))</f>
        <v/>
      </c>
      <c r="H13" t="str">
        <f>IF($N13=1, "", INDEX(Wednesday2, $M13, 1))</f>
        <v/>
      </c>
      <c r="I13" t="str">
        <f>IF($N13=1, "", IF(INDEX(Wednesday2, $M13+1, 5)="", INDEX(Wednesday2, $M13, 5), INDEX(Wednesday2, $M13+1, 5)))</f>
        <v/>
      </c>
      <c r="L13">
        <f>COUNTIF(Wednesday2_Y, "YES")</f>
        <v>0</v>
      </c>
      <c r="M13" t="str">
        <f>IF(L13&gt;=1, MATCH("Yes", Wednesday2_Y, 0), "")</f>
        <v/>
      </c>
      <c r="N13">
        <f>IF(L13&lt;&gt;1, 1, 0)</f>
        <v>1</v>
      </c>
    </row>
    <row r="14" spans="1:14" x14ac:dyDescent="0.15">
      <c r="A14">
        <f>[0]!StudentID</f>
        <v>0</v>
      </c>
      <c r="B14" t="str">
        <f>[0]!FirstName &amp; " " &amp; [0]!FamilyName</f>
        <v xml:space="preserve"> </v>
      </c>
      <c r="C14" s="76" t="s">
        <v>58</v>
      </c>
      <c r="D14" s="76">
        <v>3</v>
      </c>
      <c r="E14" s="107" t="str">
        <f>IFERROR( INDEX([0]!Wednesday3, MATCH("YES", [0]!Wednesday3_Y, 0), 2), "")</f>
        <v/>
      </c>
      <c r="F14" t="str">
        <f>IF(N14=1, "", INDEX(Wednesday3, M14+1, 3))</f>
        <v/>
      </c>
      <c r="G14" t="str">
        <f>IF($N14=1, "", IF(INDEX(Wednesday3, $M14+1, 4)="", INDEX(Wednesday3, $M14, 4), INDEX(Wednesday3, $M14+1, 4)))</f>
        <v/>
      </c>
      <c r="H14" t="str">
        <f>IF($N14=1, "", INDEX(Wednesday3, $M14, 1))</f>
        <v/>
      </c>
      <c r="I14" t="str">
        <f>IF($N14=1, "", IF(INDEX(Wednesday3, $M14+1, 5)="", INDEX(Wednesday3, $M14, 5), INDEX(Wednesday3, $M14+1, 5)))</f>
        <v/>
      </c>
      <c r="L14">
        <f>COUNTIF(Wednesday3_Y, "YES")</f>
        <v>0</v>
      </c>
      <c r="M14" t="str">
        <f>IF(L14&gt;=1, MATCH("Yes", Wednesday3_Y, 0), "")</f>
        <v/>
      </c>
      <c r="N14">
        <f>IF(L14&lt;&gt;1, 1, 0)</f>
        <v>1</v>
      </c>
    </row>
    <row r="15" spans="1:14" x14ac:dyDescent="0.15">
      <c r="A15">
        <f>[0]!StudentID</f>
        <v>0</v>
      </c>
      <c r="B15" t="str">
        <f>[0]!FirstName &amp; " " &amp; [0]!FamilyName</f>
        <v xml:space="preserve"> </v>
      </c>
      <c r="C15" s="76" t="s">
        <v>58</v>
      </c>
      <c r="D15" s="76">
        <v>4</v>
      </c>
      <c r="E15" s="107" t="str">
        <f>IFERROR( INDEX([0]!Wednesday4, MATCH("YES", [0]!Wednesday4_Y, 0), 2), "")</f>
        <v/>
      </c>
      <c r="F15" t="str">
        <f>IF(N15=1, "", INDEX(Wednesday4, M15+1, 3))</f>
        <v/>
      </c>
      <c r="G15" t="str">
        <f>IF($N15=1, "", IF(INDEX(Wednesday4, $M15+1, 4)="", INDEX(Wednesday4, $M15, 4), INDEX(Wednesday4, $M15+1, 4)))</f>
        <v/>
      </c>
      <c r="H15" t="str">
        <f>IF($N15=1, "", INDEX(Wednesday4, $M15, 1))</f>
        <v/>
      </c>
      <c r="I15" t="str">
        <f>IF($N15=1, "", IF(INDEX(Wednesday4, $M15+1, 5)="", INDEX(Wednesday4, $M15, 5), INDEX(Wednesday4, $M15+1, 5)))</f>
        <v/>
      </c>
      <c r="L15">
        <f>COUNTIF(Wednesday4_Y, "YES")</f>
        <v>0</v>
      </c>
      <c r="M15" t="str">
        <f>IF(L15&gt;=1, MATCH("Yes", Wednesday4_Y, 0), "")</f>
        <v/>
      </c>
      <c r="N15">
        <f>IF(L15&lt;&gt;1, 1, 0)</f>
        <v>1</v>
      </c>
    </row>
    <row r="16" spans="1:14" x14ac:dyDescent="0.15">
      <c r="A16">
        <f>[0]!StudentID</f>
        <v>0</v>
      </c>
      <c r="B16" t="str">
        <f>[0]!FirstName &amp; " " &amp; [0]!FamilyName</f>
        <v xml:space="preserve"> </v>
      </c>
      <c r="C16" s="76" t="s">
        <v>58</v>
      </c>
      <c r="D16" s="76">
        <v>5</v>
      </c>
      <c r="E16" s="107"/>
    </row>
    <row r="17" spans="1:14" x14ac:dyDescent="0.15">
      <c r="A17">
        <f>[0]!StudentID</f>
        <v>0</v>
      </c>
      <c r="B17" t="str">
        <f>[0]!FirstName &amp; " " &amp; [0]!FamilyName</f>
        <v xml:space="preserve"> </v>
      </c>
      <c r="C17" s="76" t="s">
        <v>59</v>
      </c>
      <c r="D17" s="76">
        <v>1</v>
      </c>
      <c r="E17" s="107" t="str">
        <f>IFERROR( INDEX([0]!Thursday1, MATCH("YES", [0]!Thursday1_Y, 0), 2), "")</f>
        <v/>
      </c>
      <c r="F17" t="str">
        <f>IF(N17=1, "", INDEX(Thursday1, M17+1, 3))</f>
        <v/>
      </c>
      <c r="G17" t="str">
        <f>IF($N17=1, "", IF(INDEX(Tuesday1, $M17+1, 4)="", INDEX(Tuesday1, $M17, 4), INDEX(Tuesday1, $M17+1, 4)))</f>
        <v/>
      </c>
      <c r="H17" t="str">
        <f>IF($N17=1, "", INDEX(Thursday1, $M17, 1))</f>
        <v/>
      </c>
      <c r="I17" t="str">
        <f>IF($N17=1, "", IF(INDEX(Thursday1, $M17+1, 5)="", INDEX(Thursday1, $M17, 5), INDEX(Thursday1, $M17+1, 5)))</f>
        <v/>
      </c>
      <c r="L17">
        <f>COUNTIF(Thursday1_Y, "YES")</f>
        <v>0</v>
      </c>
      <c r="M17" t="str">
        <f>IF(L17&gt;=1, MATCH("Yes", Thursday1_Y, 0), "")</f>
        <v/>
      </c>
      <c r="N17">
        <f>IF(L17&lt;&gt;1, 1, 0)</f>
        <v>1</v>
      </c>
    </row>
    <row r="18" spans="1:14" x14ac:dyDescent="0.15">
      <c r="A18">
        <f>[0]!StudentID</f>
        <v>0</v>
      </c>
      <c r="B18" t="str">
        <f>[0]!FirstName &amp; " " &amp; [0]!FamilyName</f>
        <v xml:space="preserve"> </v>
      </c>
      <c r="C18" s="76" t="s">
        <v>59</v>
      </c>
      <c r="D18" s="76">
        <v>2</v>
      </c>
      <c r="E18" s="107" t="str">
        <f>IFERROR( INDEX([0]!Thursday2, MATCH("YES", [0]!Thursday2_Y, 0), 2), "")</f>
        <v/>
      </c>
      <c r="F18" t="str">
        <f>IF(N18=1, "", INDEX(Thursday2, M18+1, 3))</f>
        <v/>
      </c>
      <c r="G18" t="str">
        <f>IF($N18=1, "", IF(INDEX(Tuesday2, $M18+1, 4)="", INDEX(Tuesday2, $M18, 4), INDEX(Tuesday2, $M18+1, 4)))</f>
        <v/>
      </c>
      <c r="H18" t="str">
        <f>IF($N18=1, "", INDEX(Thursday2, $M18, 1))</f>
        <v/>
      </c>
      <c r="I18" t="str">
        <f>IF($N18=1, "", IF(INDEX(Thursday2, $M18+1, 5)="", INDEX(Thursday2, $M18, 5), INDEX(Thursday2, $M18+1, 5)))</f>
        <v/>
      </c>
      <c r="L18">
        <f>COUNTIF(Thursday2_Y, "YES")</f>
        <v>0</v>
      </c>
      <c r="M18" t="str">
        <f>IF(L18&gt;=1, MATCH("Yes", Thursday2_Y, 0), "")</f>
        <v/>
      </c>
      <c r="N18">
        <f>IF(L18&lt;&gt;1, 1, 0)</f>
        <v>1</v>
      </c>
    </row>
    <row r="19" spans="1:14" x14ac:dyDescent="0.15">
      <c r="A19">
        <f>[0]!StudentID</f>
        <v>0</v>
      </c>
      <c r="B19" t="str">
        <f>[0]!FirstName &amp; " " &amp; [0]!FamilyName</f>
        <v xml:space="preserve"> </v>
      </c>
      <c r="C19" s="76" t="s">
        <v>59</v>
      </c>
      <c r="D19" s="76">
        <v>3</v>
      </c>
      <c r="E19" s="107" t="str">
        <f>IFERROR( INDEX([0]!Thursday3, MATCH("YES", [0]!Thursday3_Y, 0), 2), "")</f>
        <v/>
      </c>
      <c r="F19" t="str">
        <f>IF(N19=1, "", INDEX(Thursday3, M19+1, 3))</f>
        <v/>
      </c>
      <c r="G19" t="str">
        <f>IF($N19=1, "", IF(INDEX(Tuesday3, $M19+1, 4)="", INDEX(Tuesday3, $M19, 4), INDEX(Tuesday3, $M19+1, 4)))</f>
        <v/>
      </c>
      <c r="H19" t="str">
        <f>IF($N19=1, "", INDEX(Thursday3, $M19, 1))</f>
        <v/>
      </c>
      <c r="I19" t="str">
        <f>IF($N19=1, "", IF(INDEX(Thursday3, $M19+1, 5)="", INDEX(Thursday3, $M19, 5), INDEX(Thursday3, $M19+1, 5)))</f>
        <v/>
      </c>
      <c r="L19">
        <f>COUNTIF(Thursday3_Y, "YES")</f>
        <v>0</v>
      </c>
      <c r="M19" t="str">
        <f>IF(L19&gt;=1, MATCH("Yes", Thursday3_Y, 0), "")</f>
        <v/>
      </c>
      <c r="N19">
        <f>IF(L19&lt;&gt;1, 1, 0)</f>
        <v>1</v>
      </c>
    </row>
    <row r="20" spans="1:14" x14ac:dyDescent="0.15">
      <c r="A20">
        <f>[0]!StudentID</f>
        <v>0</v>
      </c>
      <c r="B20" t="str">
        <f>[0]!FirstName &amp; " " &amp; [0]!FamilyName</f>
        <v xml:space="preserve"> </v>
      </c>
      <c r="C20" s="76" t="s">
        <v>59</v>
      </c>
      <c r="D20" s="76">
        <v>4</v>
      </c>
      <c r="E20" s="107" t="str">
        <f>IFERROR( INDEX([0]!Thursday4, MATCH("YES", [0]!Thursday4_Y, 0), 2), "")</f>
        <v/>
      </c>
      <c r="F20" t="str">
        <f>IF(N20=1, "", INDEX(Thursday4, M20+1, 3))</f>
        <v/>
      </c>
      <c r="G20" t="str">
        <f>IF($N20=1, "", IF(INDEX(Tuesday4, $M20+1, 4)="", INDEX(Tuesday4, $M20, 4), INDEX(Tuesday4, $M20+1, 4)))</f>
        <v/>
      </c>
      <c r="H20" t="str">
        <f>IF($N20=1, "", INDEX(Thursday4, $M20, 1))</f>
        <v/>
      </c>
      <c r="I20" t="str">
        <f>IF($N20=1, "", IF(INDEX(Thursday4, $M20+1, 5)="", INDEX(Thursday4, $M20, 5), INDEX(Thursday4, $M20+1, 5)))</f>
        <v/>
      </c>
      <c r="L20">
        <f>COUNTIF(Thursday4_Y, "YES")</f>
        <v>0</v>
      </c>
      <c r="M20" t="str">
        <f>IF(L20&gt;=1, MATCH("Yes", Thursday4_Y, 0), "")</f>
        <v/>
      </c>
      <c r="N20">
        <f>IF(L20&lt;&gt;1, 1, 0)</f>
        <v>1</v>
      </c>
    </row>
    <row r="21" spans="1:14" x14ac:dyDescent="0.15">
      <c r="A21">
        <f>[0]!StudentID</f>
        <v>0</v>
      </c>
      <c r="B21" t="str">
        <f>[0]!FirstName &amp; " " &amp; [0]!FamilyName</f>
        <v xml:space="preserve"> </v>
      </c>
      <c r="C21" s="76" t="s">
        <v>59</v>
      </c>
      <c r="D21">
        <v>5</v>
      </c>
      <c r="E21" s="107" t="str">
        <f>IFERROR( INDEX([0]!Thursday5, MATCH("YES", [0]!Thursday5_Y, 0), 2), "")</f>
        <v/>
      </c>
      <c r="F21" t="str">
        <f>IF(N21=1, "", INDEX(Thursday5, M21+1, 3))</f>
        <v/>
      </c>
      <c r="G21" t="str">
        <f>IF($N21=1, "", IF(INDEX(Tuesday5, $M21+1, 4)="", INDEX(Tuesday5, $M21, 4), INDEX(Tuesday5, $M21+1, 4)))</f>
        <v/>
      </c>
      <c r="H21" t="str">
        <f>IF($N21=1, "", INDEX(Thursday5, $M21, 1))</f>
        <v/>
      </c>
      <c r="I21" t="str">
        <f>IF($N21=1, "", IF(INDEX(Thursday5, $M21+1, 5)="", INDEX(Thursday5, $M21, 5), INDEX(Thursday5, $M21+1, 5)))</f>
        <v/>
      </c>
      <c r="L21">
        <f>COUNTIF(Thursday5_Y, "YES")</f>
        <v>0</v>
      </c>
      <c r="M21" t="str">
        <f>IF(L21&gt;=1, MATCH("Yes", Thursday5_Y, 0), "")</f>
        <v/>
      </c>
      <c r="N21">
        <f>IF(L21&lt;&gt;1, 1, 0)</f>
        <v>1</v>
      </c>
    </row>
    <row r="22" spans="1:14" x14ac:dyDescent="0.15">
      <c r="A22">
        <f>[0]!StudentID</f>
        <v>0</v>
      </c>
      <c r="B22" t="str">
        <f>[0]!FirstName &amp; " " &amp; [0]!FamilyName</f>
        <v xml:space="preserve"> </v>
      </c>
      <c r="C22" s="76" t="s">
        <v>60</v>
      </c>
      <c r="D22" s="76">
        <v>1</v>
      </c>
      <c r="E22" s="107"/>
    </row>
    <row r="23" spans="1:14" x14ac:dyDescent="0.15">
      <c r="A23">
        <f>[0]!StudentID</f>
        <v>0</v>
      </c>
      <c r="B23" t="str">
        <f>[0]!FirstName &amp; " " &amp; [0]!FamilyName</f>
        <v xml:space="preserve"> </v>
      </c>
      <c r="C23" s="76" t="s">
        <v>60</v>
      </c>
      <c r="D23" s="76">
        <v>2</v>
      </c>
      <c r="E23" s="107" t="str">
        <f>IFERROR( INDEX([0]!Friday2, MATCH("YES", [0]!Friday2_Y, 0), 2), "")</f>
        <v/>
      </c>
      <c r="F23" t="str">
        <f>IF(N23=1, "", INDEX(Friday2, M23+1, 3))</f>
        <v/>
      </c>
      <c r="G23" t="str">
        <f>IF($N23=1, "", IF(INDEX(Friday2, $M23+1, 4)="", INDEX(Friday2, $M23, 4), INDEX(Friday2, $M23+1, 4)))</f>
        <v/>
      </c>
      <c r="H23" t="str">
        <f>IF($N23=1, "", INDEX(Friday2, $M23, 1))</f>
        <v/>
      </c>
      <c r="I23" t="str">
        <f>IF($N23=1, "", IF(INDEX(Friday2, $M23+1, 5)="", INDEX(Friday2, $M23, 5), INDEX(Friday2, $M23+1, 5)))</f>
        <v/>
      </c>
      <c r="L23">
        <f>COUNTIF(Friday2_Y, "YES")</f>
        <v>0</v>
      </c>
      <c r="M23" t="str">
        <f>IF(L23&gt;=1, MATCH("Yes", Friday2_Y, 0), "")</f>
        <v/>
      </c>
      <c r="N23">
        <f>IF(L23&lt;&gt;1, 1, 0)</f>
        <v>1</v>
      </c>
    </row>
    <row r="24" spans="1:14" x14ac:dyDescent="0.15">
      <c r="A24">
        <f>[0]!StudentID</f>
        <v>0</v>
      </c>
      <c r="B24" t="str">
        <f>[0]!FirstName &amp; " " &amp; [0]!FamilyName</f>
        <v xml:space="preserve"> </v>
      </c>
      <c r="C24" s="76" t="s">
        <v>60</v>
      </c>
      <c r="D24" s="76">
        <v>3</v>
      </c>
      <c r="E24" s="107"/>
    </row>
    <row r="25" spans="1:14" x14ac:dyDescent="0.15">
      <c r="A25">
        <f>[0]!StudentID</f>
        <v>0</v>
      </c>
      <c r="B25" t="str">
        <f>[0]!FirstName &amp; " " &amp; [0]!FamilyName</f>
        <v xml:space="preserve"> </v>
      </c>
      <c r="C25" s="76" t="s">
        <v>60</v>
      </c>
      <c r="D25" s="76">
        <v>4</v>
      </c>
      <c r="E25" s="107" t="str">
        <f>IFERROR( INDEX([0]!Friday4, MATCH("YES", [0]!Friday4_Y, 0), 2), "")</f>
        <v/>
      </c>
      <c r="F25" t="str">
        <f>IF(N25=1, "", INDEX(Friday4, M25+1, 3))</f>
        <v/>
      </c>
      <c r="G25" t="str">
        <f>IF($N25=1, "", IF(INDEX(Friday4, $M25+1, 4)="", INDEX(Friday4, $M25, 4), INDEX(Friday4, $M25+1, 4)))</f>
        <v/>
      </c>
      <c r="H25" t="str">
        <f>IF($N25=1, "", INDEX(Friday4, $M25, 1))</f>
        <v/>
      </c>
      <c r="I25" t="str">
        <f>IF($N25=1, "", IF(INDEX(Friday4, $M25+1, 5)="", INDEX(Friday4, $M25, 5), INDEX(Friday4, $M25+1, 5)))</f>
        <v/>
      </c>
      <c r="L25">
        <f>COUNTIF(Friday4_Y, "YES")</f>
        <v>0</v>
      </c>
      <c r="M25" t="str">
        <f>IF(L25&gt;=1, MATCH("Yes", Friday4_Y, 0), "")</f>
        <v/>
      </c>
      <c r="N25">
        <f>IF(L25&lt;&gt;1, 1, 0)</f>
        <v>1</v>
      </c>
    </row>
    <row r="26" spans="1:14" x14ac:dyDescent="0.15">
      <c r="A26">
        <f>[0]!StudentID</f>
        <v>0</v>
      </c>
      <c r="B26" t="str">
        <f>[0]!FirstName &amp; " " &amp; [0]!FamilyName</f>
        <v xml:space="preserve"> </v>
      </c>
      <c r="C26" s="76" t="s">
        <v>60</v>
      </c>
      <c r="D26" s="76">
        <v>5</v>
      </c>
      <c r="E26" s="107" t="str">
        <f>IFERROR( INDEX([0]!Friday5, MATCH("YES", [0]!Friday5_Y, 0), 2), "")</f>
        <v/>
      </c>
      <c r="F26" t="str">
        <f>IF(N26=1, "", INDEX(Friday5, M26+1, 3))</f>
        <v/>
      </c>
      <c r="G26" t="str">
        <f>IF($N26=1, "", IF(INDEX(Friday5, $M26+1, 4)="", INDEX(Friday5, $M26, 4), INDEX(Friday5, $M26+1, 4)))</f>
        <v/>
      </c>
      <c r="H26" t="str">
        <f>IF($N26=1, "", INDEX(Friday5, $M26, 1))</f>
        <v/>
      </c>
      <c r="I26" t="str">
        <f>IF($N26=1, "", IF(INDEX(Friday5, $M26+1, 5)="", INDEX(Friday5, $M26, 5), INDEX(Friday5, $M26+1, 5)))</f>
        <v/>
      </c>
      <c r="L26">
        <f>COUNTIF(Friday5_Y, "YES")</f>
        <v>0</v>
      </c>
      <c r="M26" t="str">
        <f>IF(L26&gt;=1, MATCH("Yes", Friday5_Y, 0), "")</f>
        <v/>
      </c>
      <c r="N26">
        <f>IF(L26&lt;&gt;1, 1, 0)</f>
        <v>1</v>
      </c>
    </row>
  </sheetData>
  <phoneticPr fontId="2"/>
  <conditionalFormatting sqref="D25:D26">
    <cfRule type="expression" dxfId="36" priority="6">
      <formula>$N$5=2</formula>
    </cfRule>
  </conditionalFormatting>
  <conditionalFormatting sqref="C3">
    <cfRule type="expression" dxfId="35" priority="37">
      <formula>$N$3=2</formula>
    </cfRule>
  </conditionalFormatting>
  <conditionalFormatting sqref="C4">
    <cfRule type="expression" dxfId="34" priority="36">
      <formula>$N$4=2</formula>
    </cfRule>
  </conditionalFormatting>
  <conditionalFormatting sqref="C5">
    <cfRule type="expression" dxfId="33" priority="35">
      <formula>$N$5=2</formula>
    </cfRule>
  </conditionalFormatting>
  <conditionalFormatting sqref="C7">
    <cfRule type="expression" dxfId="32" priority="34">
      <formula>$N$8=2</formula>
    </cfRule>
  </conditionalFormatting>
  <conditionalFormatting sqref="C8">
    <cfRule type="expression" dxfId="31" priority="33">
      <formula>$N$9=2</formula>
    </cfRule>
  </conditionalFormatting>
  <conditionalFormatting sqref="C9">
    <cfRule type="expression" dxfId="30" priority="32">
      <formula>$N$10=2</formula>
    </cfRule>
  </conditionalFormatting>
  <conditionalFormatting sqref="C12">
    <cfRule type="expression" dxfId="29" priority="30">
      <formula>$N$14=2</formula>
    </cfRule>
  </conditionalFormatting>
  <conditionalFormatting sqref="C13">
    <cfRule type="expression" dxfId="28" priority="29">
      <formula>$N$15=2</formula>
    </cfRule>
  </conditionalFormatting>
  <conditionalFormatting sqref="C14">
    <cfRule type="expression" dxfId="27" priority="27">
      <formula>$N$17=2</formula>
    </cfRule>
  </conditionalFormatting>
  <conditionalFormatting sqref="C17">
    <cfRule type="expression" dxfId="26" priority="26">
      <formula>$N$20=2</formula>
    </cfRule>
  </conditionalFormatting>
  <conditionalFormatting sqref="C18">
    <cfRule type="expression" dxfId="25" priority="24">
      <formula>$N$22=2</formula>
    </cfRule>
  </conditionalFormatting>
  <conditionalFormatting sqref="C19">
    <cfRule type="expression" dxfId="24" priority="23">
      <formula>$N$23=2</formula>
    </cfRule>
  </conditionalFormatting>
  <conditionalFormatting sqref="C23">
    <cfRule type="expression" dxfId="23" priority="22">
      <formula>#REF!=2</formula>
    </cfRule>
  </conditionalFormatting>
  <conditionalFormatting sqref="C25">
    <cfRule type="expression" dxfId="22" priority="21">
      <formula>#REF!=2</formula>
    </cfRule>
  </conditionalFormatting>
  <conditionalFormatting sqref="D3">
    <cfRule type="expression" dxfId="21" priority="20">
      <formula>$N$3=2</formula>
    </cfRule>
  </conditionalFormatting>
  <conditionalFormatting sqref="D4">
    <cfRule type="expression" dxfId="20" priority="19">
      <formula>$N$4=2</formula>
    </cfRule>
  </conditionalFormatting>
  <conditionalFormatting sqref="D5:D6">
    <cfRule type="expression" dxfId="19" priority="18">
      <formula>$N$5=2</formula>
    </cfRule>
  </conditionalFormatting>
  <conditionalFormatting sqref="D8">
    <cfRule type="expression" dxfId="18" priority="17">
      <formula>$N$3=2</formula>
    </cfRule>
  </conditionalFormatting>
  <conditionalFormatting sqref="D9">
    <cfRule type="expression" dxfId="17" priority="16">
      <formula>$N$4=2</formula>
    </cfRule>
  </conditionalFormatting>
  <conditionalFormatting sqref="D10">
    <cfRule type="expression" dxfId="16" priority="15">
      <formula>$N$5=2</formula>
    </cfRule>
  </conditionalFormatting>
  <conditionalFormatting sqref="D13">
    <cfRule type="expression" dxfId="15" priority="14">
      <formula>$N$3=2</formula>
    </cfRule>
  </conditionalFormatting>
  <conditionalFormatting sqref="D14">
    <cfRule type="expression" dxfId="14" priority="13">
      <formula>$N$4=2</formula>
    </cfRule>
  </conditionalFormatting>
  <conditionalFormatting sqref="D15:D16">
    <cfRule type="expression" dxfId="13" priority="12">
      <formula>$N$5=2</formula>
    </cfRule>
  </conditionalFormatting>
  <conditionalFormatting sqref="D18">
    <cfRule type="expression" dxfId="12" priority="11">
      <formula>$N$3=2</formula>
    </cfRule>
  </conditionalFormatting>
  <conditionalFormatting sqref="D19">
    <cfRule type="expression" dxfId="11" priority="10">
      <formula>$N$4=2</formula>
    </cfRule>
  </conditionalFormatting>
  <conditionalFormatting sqref="D20">
    <cfRule type="expression" dxfId="10" priority="9">
      <formula>$N$5=2</formula>
    </cfRule>
  </conditionalFormatting>
  <conditionalFormatting sqref="D23">
    <cfRule type="expression" dxfId="9" priority="8">
      <formula>$N$3=2</formula>
    </cfRule>
  </conditionalFormatting>
  <conditionalFormatting sqref="D24">
    <cfRule type="expression" dxfId="8" priority="7">
      <formula>$N$4=2</formula>
    </cfRule>
  </conditionalFormatting>
  <conditionalFormatting sqref="C10">
    <cfRule type="expression" dxfId="7" priority="67">
      <formula>$N$12=2</formula>
    </cfRule>
  </conditionalFormatting>
  <conditionalFormatting sqref="C15">
    <cfRule type="expression" dxfId="6" priority="69">
      <formula>$N$18=2</formula>
    </cfRule>
  </conditionalFormatting>
  <conditionalFormatting sqref="C20">
    <cfRule type="expression" dxfId="5" priority="72">
      <formula>$N$24=2</formula>
    </cfRule>
  </conditionalFormatting>
  <conditionalFormatting sqref="C6">
    <cfRule type="expression" dxfId="4" priority="5">
      <formula>$N$5=2</formula>
    </cfRule>
  </conditionalFormatting>
  <conditionalFormatting sqref="C11">
    <cfRule type="expression" dxfId="3" priority="4">
      <formula>$N$12=2</formula>
    </cfRule>
  </conditionalFormatting>
  <conditionalFormatting sqref="C16">
    <cfRule type="expression" dxfId="2" priority="3">
      <formula>$N$18=2</formula>
    </cfRule>
  </conditionalFormatting>
  <conditionalFormatting sqref="C21">
    <cfRule type="expression" dxfId="1" priority="2">
      <formula>$N$24=2</formula>
    </cfRule>
  </conditionalFormatting>
  <conditionalFormatting sqref="C26">
    <cfRule type="expression" dxfId="0" priority="1">
      <formula>#REF!=2</formula>
    </cfRule>
  </conditionalFormatting>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4:D6"/>
  <sheetViews>
    <sheetView workbookViewId="0">
      <selection activeCell="D7" sqref="D7"/>
    </sheetView>
  </sheetViews>
  <sheetFormatPr defaultRowHeight="13.5" x14ac:dyDescent="0.15"/>
  <sheetData>
    <row r="4" spans="1:4" x14ac:dyDescent="0.15">
      <c r="A4">
        <v>2017</v>
      </c>
      <c r="B4" t="s">
        <v>1</v>
      </c>
      <c r="C4" t="s">
        <v>3</v>
      </c>
      <c r="D4" t="s">
        <v>0</v>
      </c>
    </row>
    <row r="5" spans="1:4" x14ac:dyDescent="0.15">
      <c r="A5">
        <v>2018</v>
      </c>
      <c r="B5" t="s">
        <v>2</v>
      </c>
      <c r="C5" t="s">
        <v>4</v>
      </c>
      <c r="D5" t="s">
        <v>5</v>
      </c>
    </row>
    <row r="6" spans="1:4" x14ac:dyDescent="0.15">
      <c r="D6" t="s">
        <v>6</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44</vt:i4>
      </vt:variant>
    </vt:vector>
  </HeadingPairs>
  <TitlesOfParts>
    <vt:vector size="47" baseType="lpstr">
      <vt:lpstr>Timetable（2021・春夏学期) </vt:lpstr>
      <vt:lpstr>Sheet2</vt:lpstr>
      <vt:lpstr>Sheet1</vt:lpstr>
      <vt:lpstr>FamilyName</vt:lpstr>
      <vt:lpstr>FirstName</vt:lpstr>
      <vt:lpstr>Friday2</vt:lpstr>
      <vt:lpstr>Friday2_Y</vt:lpstr>
      <vt:lpstr>Friday4</vt:lpstr>
      <vt:lpstr>Friday4_Y</vt:lpstr>
      <vt:lpstr>Friday5</vt:lpstr>
      <vt:lpstr>Friday5_Y</vt:lpstr>
      <vt:lpstr>Monday2</vt:lpstr>
      <vt:lpstr>Monday2_Y</vt:lpstr>
      <vt:lpstr>Monday3</vt:lpstr>
      <vt:lpstr>Monday3_Y</vt:lpstr>
      <vt:lpstr>Monday4</vt:lpstr>
      <vt:lpstr>Monday4_Y</vt:lpstr>
      <vt:lpstr>Monday5</vt:lpstr>
      <vt:lpstr>Monday5_Y</vt:lpstr>
      <vt:lpstr>'Timetable（2021・春夏学期) '!Print_Area</vt:lpstr>
      <vt:lpstr>StudentID</vt:lpstr>
      <vt:lpstr>Thursday1</vt:lpstr>
      <vt:lpstr>Thursday1_Y</vt:lpstr>
      <vt:lpstr>Thursday2</vt:lpstr>
      <vt:lpstr>Thursday2_Y</vt:lpstr>
      <vt:lpstr>Thursday3</vt:lpstr>
      <vt:lpstr>Thursday3_Y</vt:lpstr>
      <vt:lpstr>Thursday4</vt:lpstr>
      <vt:lpstr>Thursday4_Y</vt:lpstr>
      <vt:lpstr>Thursday5</vt:lpstr>
      <vt:lpstr>Thursday5_Y</vt:lpstr>
      <vt:lpstr>Tuesday1</vt:lpstr>
      <vt:lpstr>Tuesday1_Y</vt:lpstr>
      <vt:lpstr>Tuesday2</vt:lpstr>
      <vt:lpstr>Tuesday2_Y</vt:lpstr>
      <vt:lpstr>Tuesday3</vt:lpstr>
      <vt:lpstr>Tuesday3_Y</vt:lpstr>
      <vt:lpstr>Tuesday4</vt:lpstr>
      <vt:lpstr>Tuesday4_Y</vt:lpstr>
      <vt:lpstr>Wednesday1</vt:lpstr>
      <vt:lpstr>Wednesday1_Y</vt:lpstr>
      <vt:lpstr>Wednesday2</vt:lpstr>
      <vt:lpstr>Wednesday2_Y</vt:lpstr>
      <vt:lpstr>Wednesday3</vt:lpstr>
      <vt:lpstr>Wednesday3_Y</vt:lpstr>
      <vt:lpstr>Wednesday4</vt:lpstr>
      <vt:lpstr>Wednesday4_Y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宮錦　智晴</dc:creator>
  <cp:lastModifiedBy>渡邉　由美子</cp:lastModifiedBy>
  <cp:lastPrinted>2021-04-06T03:16:30Z</cp:lastPrinted>
  <dcterms:created xsi:type="dcterms:W3CDTF">2011-08-23T07:43:52Z</dcterms:created>
  <dcterms:modified xsi:type="dcterms:W3CDTF">2021-04-06T03:46:53Z</dcterms:modified>
</cp:coreProperties>
</file>